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Questa_cartella_di_lavoro"/>
  <mc:AlternateContent xmlns:mc="http://schemas.openxmlformats.org/markup-compatibility/2006">
    <mc:Choice Requires="x15">
      <x15ac:absPath xmlns:x15ac="http://schemas.microsoft.com/office/spreadsheetml/2010/11/ac" url="C:\Users\musante\Desktop\164910 Benatti\"/>
    </mc:Choice>
  </mc:AlternateContent>
  <bookViews>
    <workbookView xWindow="-108" yWindow="-108" windowWidth="23256" windowHeight="12456" tabRatio="901" activeTab="6"/>
  </bookViews>
  <sheets>
    <sheet name="PAS PACCHETTO 1 anagraf" sheetId="1" r:id="rId1"/>
    <sheet name="PAS 2 calc prod stand" sheetId="43" r:id="rId2"/>
    <sheet name="PAS 3 trasf comm rec terreni" sheetId="8" r:id="rId3"/>
    <sheet name="PAS PACCHETTO 4 invest" sheetId="44" r:id="rId4"/>
    <sheet name="PAS 5 sost fina econ amb" sheetId="9" r:id="rId5"/>
    <sheet name="PAS 6 punteggi" sheetId="45" r:id="rId6"/>
    <sheet name="PAS 7 relazione" sheetId="18" r:id="rId7"/>
    <sheet name="comuni mis 6" sheetId="48" state="hidden" r:id="rId8"/>
    <sheet name="comuni" sheetId="47" state="hidden" r:id="rId9"/>
  </sheets>
  <externalReferences>
    <externalReference r:id="rId10"/>
  </externalReferences>
  <definedNames>
    <definedName name="_xlnm.Print_Area" localSheetId="1">'PAS 2 calc prod stand'!$A$1:$J$67</definedName>
    <definedName name="_xlnm.Print_Area" localSheetId="2">'PAS 3 trasf comm rec terreni'!$A$1:$BA$95</definedName>
    <definedName name="_xlnm.Print_Area" localSheetId="4">'PAS 5 sost fina econ amb'!$A$1:$AS$46</definedName>
    <definedName name="_xlnm.Print_Area" localSheetId="5">'PAS 6 punteggi'!$A$1:$I$54</definedName>
    <definedName name="_xlnm.Print_Area" localSheetId="6">'PAS 7 relazione'!$A$1:$E$60</definedName>
    <definedName name="_xlnm.Print_Area" localSheetId="0">'PAS PACCHETTO 1 anagraf'!$A$1:$AM$103</definedName>
    <definedName name="_xlnm.Print_Area" localSheetId="3">'PAS PACCHETTO 4 invest'!$A$1:$Q$95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R42" i="9" l="1"/>
  <c r="AR41" i="9"/>
  <c r="AR40" i="9"/>
  <c r="AR39" i="9"/>
  <c r="AR38" i="9"/>
  <c r="AI43" i="9" l="1"/>
  <c r="M7" i="44" l="1"/>
  <c r="R7" i="44" s="1"/>
  <c r="M8" i="44"/>
  <c r="R8" i="44" s="1"/>
  <c r="M9" i="44"/>
  <c r="R9" i="44" s="1"/>
  <c r="M10" i="44"/>
  <c r="R10" i="44" s="1"/>
  <c r="M11" i="44"/>
  <c r="R11" i="44" s="1"/>
  <c r="M12" i="44"/>
  <c r="R12" i="44" s="1"/>
  <c r="M13" i="44"/>
  <c r="R13" i="44" s="1"/>
  <c r="M14" i="44"/>
  <c r="M15" i="44"/>
  <c r="R15" i="44" s="1"/>
  <c r="M16" i="44"/>
  <c r="R16" i="44" s="1"/>
  <c r="M17" i="44"/>
  <c r="R17" i="44" s="1"/>
  <c r="M18" i="44"/>
  <c r="R18" i="44" s="1"/>
  <c r="M19" i="44"/>
  <c r="R19" i="44" s="1"/>
  <c r="M20" i="44"/>
  <c r="R20" i="44" s="1"/>
  <c r="M21" i="44"/>
  <c r="R21" i="44" s="1"/>
  <c r="M22" i="44"/>
  <c r="R22" i="44" s="1"/>
  <c r="M23" i="44"/>
  <c r="R23" i="44" s="1"/>
  <c r="M24" i="44"/>
  <c r="R24" i="44" s="1"/>
  <c r="M25" i="44"/>
  <c r="R25" i="44" s="1"/>
  <c r="M26" i="44"/>
  <c r="R26" i="44" s="1"/>
  <c r="M27" i="44"/>
  <c r="R27" i="44" s="1"/>
  <c r="M28" i="44"/>
  <c r="R28" i="44" s="1"/>
  <c r="M29" i="44"/>
  <c r="R29" i="44" s="1"/>
  <c r="M30" i="44"/>
  <c r="M31" i="44"/>
  <c r="R31" i="44" s="1"/>
  <c r="M32" i="44"/>
  <c r="R32" i="44" s="1"/>
  <c r="M33" i="44"/>
  <c r="R33" i="44" s="1"/>
  <c r="M34" i="44"/>
  <c r="R34" i="44" s="1"/>
  <c r="M5" i="44"/>
  <c r="R5" i="44" s="1"/>
  <c r="R14" i="44"/>
  <c r="R30" i="44"/>
  <c r="M6" i="44"/>
  <c r="R6" i="44" s="1"/>
  <c r="R89" i="44"/>
  <c r="I44" i="45" l="1"/>
  <c r="I47" i="45"/>
  <c r="C16" i="45"/>
  <c r="D54" i="44" l="1"/>
  <c r="D55" i="44"/>
  <c r="N92" i="44"/>
  <c r="N90" i="44"/>
  <c r="AG45" i="1"/>
  <c r="I49" i="45" l="1"/>
  <c r="G49" i="45"/>
  <c r="N88" i="44"/>
  <c r="N94" i="44" s="1"/>
  <c r="G88" i="44"/>
  <c r="I43" i="44"/>
  <c r="I58" i="44"/>
  <c r="I55" i="44"/>
  <c r="I51" i="44"/>
  <c r="I49" i="44"/>
  <c r="I47" i="44"/>
  <c r="I45" i="44"/>
  <c r="L36" i="44" l="1"/>
  <c r="I50" i="45"/>
  <c r="GH10" i="45"/>
  <c r="V9" i="44" l="1"/>
  <c r="V6" i="44"/>
  <c r="V12" i="44" l="1"/>
  <c r="J56" i="44"/>
  <c r="K56" i="44" s="1"/>
  <c r="M56" i="44" s="1"/>
  <c r="P56" i="44" s="1"/>
  <c r="J59" i="44"/>
  <c r="K59" i="44" s="1"/>
  <c r="J58" i="44"/>
  <c r="J57" i="44"/>
  <c r="K57" i="44" s="1"/>
  <c r="M57" i="44" s="1"/>
  <c r="P57" i="44" s="1"/>
  <c r="J55" i="44"/>
  <c r="J54" i="44"/>
  <c r="K54" i="44" s="1"/>
  <c r="M54" i="44" s="1"/>
  <c r="J53" i="44"/>
  <c r="K53" i="44" s="1"/>
  <c r="J52" i="44"/>
  <c r="K52" i="44" s="1"/>
  <c r="J51" i="44"/>
  <c r="K51" i="44" s="1"/>
  <c r="J50" i="44"/>
  <c r="K50" i="44" s="1"/>
  <c r="J49" i="44"/>
  <c r="K49" i="44" s="1"/>
  <c r="J48" i="44"/>
  <c r="K48" i="44" s="1"/>
  <c r="J47" i="44"/>
  <c r="J46" i="44"/>
  <c r="K46" i="44" s="1"/>
  <c r="J45" i="44"/>
  <c r="J44" i="44"/>
  <c r="K44" i="44" s="1"/>
  <c r="J43" i="44"/>
  <c r="K43" i="44" s="1"/>
  <c r="J42" i="44"/>
  <c r="K42" i="44" s="1"/>
  <c r="E52" i="44"/>
  <c r="F52" i="44"/>
  <c r="G52" i="44"/>
  <c r="H52" i="44"/>
  <c r="D52" i="44"/>
  <c r="E50" i="44"/>
  <c r="E51" i="44" s="1"/>
  <c r="F50" i="44"/>
  <c r="F51" i="44" s="1"/>
  <c r="G50" i="44"/>
  <c r="G51" i="44" s="1"/>
  <c r="H50" i="44"/>
  <c r="D50" i="44"/>
  <c r="D51" i="44" s="1"/>
  <c r="E48" i="44"/>
  <c r="F48" i="44"/>
  <c r="G48" i="44"/>
  <c r="H48" i="44"/>
  <c r="D48" i="44"/>
  <c r="E46" i="44"/>
  <c r="E47" i="44" s="1"/>
  <c r="F46" i="44"/>
  <c r="F47" i="44" s="1"/>
  <c r="G46" i="44"/>
  <c r="G47" i="44" s="1"/>
  <c r="H46" i="44"/>
  <c r="D46" i="44"/>
  <c r="D47" i="44" s="1"/>
  <c r="N47" i="44" s="1"/>
  <c r="E44" i="44"/>
  <c r="E45" i="44" s="1"/>
  <c r="F44" i="44"/>
  <c r="F45" i="44" s="1"/>
  <c r="G44" i="44"/>
  <c r="G45" i="44" s="1"/>
  <c r="H44" i="44"/>
  <c r="D44" i="44"/>
  <c r="D45" i="44" s="1"/>
  <c r="N45" i="44" s="1"/>
  <c r="E59" i="44"/>
  <c r="F59" i="44"/>
  <c r="G59" i="44"/>
  <c r="H59" i="44"/>
  <c r="D59" i="44"/>
  <c r="H58" i="44"/>
  <c r="G58" i="44"/>
  <c r="F58" i="44"/>
  <c r="D58" i="44"/>
  <c r="N58" i="44" s="1"/>
  <c r="E57" i="44"/>
  <c r="F57" i="44"/>
  <c r="G57" i="44"/>
  <c r="H57" i="44"/>
  <c r="D57" i="44"/>
  <c r="H56" i="44"/>
  <c r="G56" i="44"/>
  <c r="F56" i="44"/>
  <c r="E56" i="44"/>
  <c r="D56" i="44"/>
  <c r="H55" i="44"/>
  <c r="G55" i="44"/>
  <c r="F55" i="44"/>
  <c r="E55" i="44"/>
  <c r="N55" i="44"/>
  <c r="E54" i="44"/>
  <c r="F54" i="44"/>
  <c r="G54" i="44"/>
  <c r="H54" i="44"/>
  <c r="E53" i="44"/>
  <c r="F53" i="44"/>
  <c r="G53" i="44"/>
  <c r="H53" i="44"/>
  <c r="D53" i="44"/>
  <c r="D49" i="44"/>
  <c r="N49" i="44" s="1"/>
  <c r="E49" i="44"/>
  <c r="F49" i="44"/>
  <c r="G49" i="44"/>
  <c r="H49" i="44"/>
  <c r="D43" i="44"/>
  <c r="E43" i="44"/>
  <c r="F43" i="44"/>
  <c r="G43" i="44"/>
  <c r="H43" i="44"/>
  <c r="H42" i="44"/>
  <c r="G42" i="44"/>
  <c r="F42" i="44"/>
  <c r="E42" i="44"/>
  <c r="D42" i="44"/>
  <c r="N42" i="44" s="1"/>
  <c r="C64" i="43"/>
  <c r="M59" i="44" l="1"/>
  <c r="L59" i="44" s="1"/>
  <c r="M53" i="44"/>
  <c r="L53" i="44" s="1"/>
  <c r="M52" i="44"/>
  <c r="L52" i="44" s="1"/>
  <c r="M42" i="44"/>
  <c r="L42" i="44" s="1"/>
  <c r="K47" i="44"/>
  <c r="M47" i="44" s="1"/>
  <c r="K55" i="44"/>
  <c r="K58" i="44"/>
  <c r="K45" i="44"/>
  <c r="M45" i="44" s="1"/>
  <c r="M49" i="44"/>
  <c r="L49" i="44" s="1"/>
  <c r="H45" i="44"/>
  <c r="H47" i="44"/>
  <c r="H51" i="44"/>
  <c r="O34" i="44"/>
  <c r="O59" i="44" s="1"/>
  <c r="O33" i="44"/>
  <c r="O31" i="44"/>
  <c r="O57" i="44" s="1"/>
  <c r="O32" i="44"/>
  <c r="O58" i="44" s="1"/>
  <c r="O30" i="44"/>
  <c r="O29" i="44"/>
  <c r="O56" i="44" s="1"/>
  <c r="O27" i="44"/>
  <c r="O54" i="44" s="1"/>
  <c r="O28" i="44"/>
  <c r="O55" i="44" s="1"/>
  <c r="O26" i="44"/>
  <c r="O24" i="44"/>
  <c r="O25" i="44"/>
  <c r="O53" i="44" s="1"/>
  <c r="O23" i="44"/>
  <c r="O21" i="44"/>
  <c r="O22" i="44"/>
  <c r="O52" i="44" s="1"/>
  <c r="O20" i="44"/>
  <c r="O18" i="44"/>
  <c r="O50" i="44" s="1"/>
  <c r="O19" i="44"/>
  <c r="O51" i="44" s="1"/>
  <c r="O17" i="44"/>
  <c r="O15" i="44"/>
  <c r="O16" i="44"/>
  <c r="O14" i="44"/>
  <c r="O12" i="44"/>
  <c r="O13" i="44"/>
  <c r="O11" i="44"/>
  <c r="O9" i="44"/>
  <c r="O45" i="44" s="1"/>
  <c r="O10" i="44"/>
  <c r="O8" i="44"/>
  <c r="O6" i="44"/>
  <c r="O7" i="44"/>
  <c r="O5" i="44"/>
  <c r="O42" i="44" s="1"/>
  <c r="M58" i="44" l="1"/>
  <c r="P58" i="44" s="1"/>
  <c r="M55" i="44"/>
  <c r="P55" i="44" s="1"/>
  <c r="L45" i="44"/>
  <c r="P45" i="44"/>
  <c r="L47" i="44"/>
  <c r="P47" i="44"/>
  <c r="O47" i="44"/>
  <c r="O46" i="44"/>
  <c r="O49" i="44"/>
  <c r="O48" i="44"/>
  <c r="N27" i="44"/>
  <c r="P27" i="44" s="1"/>
  <c r="N31" i="44"/>
  <c r="P31" i="44" s="1"/>
  <c r="N29" i="44"/>
  <c r="P29" i="44" s="1"/>
  <c r="N33" i="44"/>
  <c r="P33" i="44" s="1"/>
  <c r="N34" i="44"/>
  <c r="P34" i="44" s="1"/>
  <c r="M38" i="44"/>
  <c r="L58" i="44" l="1"/>
  <c r="L55" i="44"/>
  <c r="F6" i="43"/>
  <c r="G29" i="43"/>
  <c r="G55" i="43"/>
  <c r="I54" i="43"/>
  <c r="I53" i="43"/>
  <c r="I52" i="43"/>
  <c r="I51" i="43"/>
  <c r="I50" i="43"/>
  <c r="E49" i="43"/>
  <c r="I49" i="43" s="1"/>
  <c r="E48" i="43"/>
  <c r="I48" i="43" s="1"/>
  <c r="E47" i="43"/>
  <c r="I47" i="43" s="1"/>
  <c r="E46" i="43"/>
  <c r="I46" i="43" s="1"/>
  <c r="E45" i="43"/>
  <c r="I45" i="43" s="1"/>
  <c r="E44" i="43"/>
  <c r="I44" i="43" s="1"/>
  <c r="E43" i="43"/>
  <c r="I43" i="43" s="1"/>
  <c r="E42" i="43"/>
  <c r="I42" i="43" s="1"/>
  <c r="E41" i="43"/>
  <c r="I41" i="43" s="1"/>
  <c r="E40" i="43"/>
  <c r="I40" i="43" s="1"/>
  <c r="E39" i="43"/>
  <c r="I39" i="43" s="1"/>
  <c r="E38" i="43"/>
  <c r="I38" i="43" s="1"/>
  <c r="E37" i="43"/>
  <c r="I37" i="43" s="1"/>
  <c r="E36" i="43"/>
  <c r="I36" i="43" s="1"/>
  <c r="E35" i="43"/>
  <c r="I35" i="43" s="1"/>
  <c r="E10" i="43"/>
  <c r="I10" i="43" s="1"/>
  <c r="E11" i="43"/>
  <c r="I11" i="43" s="1"/>
  <c r="E12" i="43"/>
  <c r="I12" i="43" s="1"/>
  <c r="E13" i="43"/>
  <c r="I13" i="43" s="1"/>
  <c r="E14" i="43"/>
  <c r="I14" i="43" s="1"/>
  <c r="E15" i="43"/>
  <c r="I15" i="43"/>
  <c r="E16" i="43"/>
  <c r="I16" i="43" s="1"/>
  <c r="E17" i="43"/>
  <c r="I17" i="43" s="1"/>
  <c r="E18" i="43"/>
  <c r="I18" i="43" s="1"/>
  <c r="E19" i="43"/>
  <c r="I19" i="43" s="1"/>
  <c r="E20" i="43"/>
  <c r="I20" i="43" s="1"/>
  <c r="E21" i="43"/>
  <c r="I21" i="43" s="1"/>
  <c r="E22" i="43"/>
  <c r="I22" i="43" s="1"/>
  <c r="E23" i="43"/>
  <c r="I23" i="43" s="1"/>
  <c r="I24" i="43"/>
  <c r="I25" i="43"/>
  <c r="I26" i="43"/>
  <c r="I27" i="43"/>
  <c r="I28" i="43"/>
  <c r="E9" i="43"/>
  <c r="I9" i="43" s="1"/>
  <c r="H55" i="43"/>
  <c r="H29" i="43"/>
  <c r="Z36" i="43"/>
  <c r="W36" i="43" s="1"/>
  <c r="Z37" i="43"/>
  <c r="W37" i="43" s="1"/>
  <c r="Z38" i="43"/>
  <c r="W38" i="43" s="1"/>
  <c r="Z39" i="43"/>
  <c r="W39" i="43" s="1"/>
  <c r="Z40" i="43"/>
  <c r="W40" i="43" s="1"/>
  <c r="Z41" i="43"/>
  <c r="Y41" i="43" s="1"/>
  <c r="Z42" i="43"/>
  <c r="W42" i="43" s="1"/>
  <c r="Z43" i="43"/>
  <c r="Y43" i="43" s="1"/>
  <c r="Z44" i="43"/>
  <c r="W44" i="43" s="1"/>
  <c r="Z45" i="43"/>
  <c r="W45" i="43" s="1"/>
  <c r="Z46" i="43"/>
  <c r="W46" i="43" s="1"/>
  <c r="Z47" i="43"/>
  <c r="W47" i="43" s="1"/>
  <c r="Z48" i="43"/>
  <c r="W48" i="43" s="1"/>
  <c r="Z49" i="43"/>
  <c r="Y49" i="43" s="1"/>
  <c r="Z35" i="43"/>
  <c r="Y35" i="43" s="1"/>
  <c r="Z10" i="43"/>
  <c r="Z11" i="43"/>
  <c r="Z12" i="43"/>
  <c r="Z13" i="43"/>
  <c r="Z14" i="43"/>
  <c r="Z15" i="43"/>
  <c r="Z16" i="43"/>
  <c r="Z17" i="43"/>
  <c r="Z18" i="43"/>
  <c r="Z19" i="43"/>
  <c r="Z20" i="43"/>
  <c r="Z21" i="43"/>
  <c r="Z22" i="43"/>
  <c r="Z23" i="43"/>
  <c r="Z9" i="43"/>
  <c r="C9" i="43"/>
  <c r="O44" i="44"/>
  <c r="N59" i="44"/>
  <c r="N57" i="44"/>
  <c r="N54" i="44"/>
  <c r="N53" i="44"/>
  <c r="N52" i="44"/>
  <c r="N50" i="44"/>
  <c r="N48" i="44"/>
  <c r="N46" i="44"/>
  <c r="N44" i="44"/>
  <c r="N43" i="44"/>
  <c r="N32" i="44"/>
  <c r="P32" i="44" s="1"/>
  <c r="N30" i="44"/>
  <c r="P30" i="44" s="1"/>
  <c r="N28" i="44"/>
  <c r="P28" i="44" s="1"/>
  <c r="N26" i="44"/>
  <c r="P26" i="44" s="1"/>
  <c r="N24" i="44"/>
  <c r="P24" i="44" s="1"/>
  <c r="N25" i="44"/>
  <c r="P25" i="44" s="1"/>
  <c r="N23" i="44"/>
  <c r="P23" i="44" s="1"/>
  <c r="N21" i="44"/>
  <c r="P21" i="44" s="1"/>
  <c r="N22" i="44"/>
  <c r="P22" i="44" s="1"/>
  <c r="N20" i="44"/>
  <c r="P20" i="44" s="1"/>
  <c r="N18" i="44"/>
  <c r="P18" i="44" s="1"/>
  <c r="N19" i="44"/>
  <c r="P19" i="44" s="1"/>
  <c r="N17" i="44"/>
  <c r="P17" i="44" s="1"/>
  <c r="N15" i="44"/>
  <c r="P15" i="44" s="1"/>
  <c r="N16" i="44"/>
  <c r="P16" i="44" s="1"/>
  <c r="N14" i="44"/>
  <c r="P14" i="44" s="1"/>
  <c r="N12" i="44"/>
  <c r="P12" i="44" s="1"/>
  <c r="N13" i="44"/>
  <c r="P13" i="44" s="1"/>
  <c r="N11" i="44"/>
  <c r="P11" i="44" s="1"/>
  <c r="N9" i="44"/>
  <c r="P9" i="44" s="1"/>
  <c r="N10" i="44"/>
  <c r="P10" i="44" s="1"/>
  <c r="N8" i="44"/>
  <c r="P8" i="44" s="1"/>
  <c r="O43" i="44"/>
  <c r="N6" i="44"/>
  <c r="P6" i="44" s="1"/>
  <c r="N7" i="44"/>
  <c r="P7" i="44" s="1"/>
  <c r="N5" i="44"/>
  <c r="C2" i="18"/>
  <c r="D2" i="43"/>
  <c r="L57" i="44"/>
  <c r="L54" i="44"/>
  <c r="M51" i="44"/>
  <c r="L51" i="44" s="1"/>
  <c r="M46" i="44"/>
  <c r="M44" i="44"/>
  <c r="L44" i="44" s="1"/>
  <c r="M43" i="44"/>
  <c r="L43" i="44" s="1"/>
  <c r="C15" i="1"/>
  <c r="L58" i="1"/>
  <c r="I6" i="43"/>
  <c r="F49" i="43"/>
  <c r="C49" i="43"/>
  <c r="F48" i="43"/>
  <c r="C48" i="43"/>
  <c r="F47" i="43"/>
  <c r="C47" i="43"/>
  <c r="F46" i="43"/>
  <c r="C46" i="43"/>
  <c r="F45" i="43"/>
  <c r="C45" i="43"/>
  <c r="F44" i="43"/>
  <c r="C44" i="43"/>
  <c r="F43" i="43"/>
  <c r="C43" i="43"/>
  <c r="F42" i="43"/>
  <c r="C42" i="43"/>
  <c r="F41" i="43"/>
  <c r="C41" i="43"/>
  <c r="F40" i="43"/>
  <c r="C40" i="43"/>
  <c r="F39" i="43"/>
  <c r="C39" i="43"/>
  <c r="F38" i="43"/>
  <c r="C38" i="43"/>
  <c r="F37" i="43"/>
  <c r="C37" i="43"/>
  <c r="F36" i="43"/>
  <c r="C36" i="43"/>
  <c r="F35" i="43"/>
  <c r="C35" i="43"/>
  <c r="F23" i="43"/>
  <c r="C23" i="43"/>
  <c r="F22" i="43"/>
  <c r="C22" i="43"/>
  <c r="F21" i="43"/>
  <c r="C21" i="43"/>
  <c r="F20" i="43"/>
  <c r="C20" i="43"/>
  <c r="F19" i="43"/>
  <c r="C19" i="43"/>
  <c r="F18" i="43"/>
  <c r="C18" i="43"/>
  <c r="F17" i="43"/>
  <c r="C17" i="43"/>
  <c r="F16" i="43"/>
  <c r="C16" i="43"/>
  <c r="F15" i="43"/>
  <c r="C15" i="43"/>
  <c r="F14" i="43"/>
  <c r="C14" i="43"/>
  <c r="F13" i="43"/>
  <c r="C13" i="43"/>
  <c r="F12" i="43"/>
  <c r="C12" i="43"/>
  <c r="F11" i="43"/>
  <c r="C11" i="43"/>
  <c r="F10" i="43"/>
  <c r="C10" i="43"/>
  <c r="F9" i="43"/>
  <c r="J32" i="1"/>
  <c r="FN7" i="8"/>
  <c r="FN8" i="8"/>
  <c r="FN9" i="8"/>
  <c r="FN10" i="8"/>
  <c r="FN11" i="8"/>
  <c r="FN12" i="8"/>
  <c r="FN6" i="8"/>
  <c r="FN13" i="8"/>
  <c r="FN14" i="8"/>
  <c r="FN15" i="8"/>
  <c r="FT7" i="8"/>
  <c r="FT8" i="8"/>
  <c r="FT9" i="8"/>
  <c r="FT6" i="8"/>
  <c r="FT10" i="8"/>
  <c r="FT11" i="8"/>
  <c r="FT12" i="8"/>
  <c r="FT13" i="8"/>
  <c r="FT14" i="8"/>
  <c r="FT15" i="8"/>
  <c r="AL35" i="8"/>
  <c r="E58" i="43" s="1"/>
  <c r="AA35" i="8"/>
  <c r="AW54" i="8"/>
  <c r="AA54" i="8"/>
  <c r="Y72" i="8"/>
  <c r="G58" i="43" l="1"/>
  <c r="L46" i="44"/>
  <c r="P46" i="44"/>
  <c r="W43" i="43"/>
  <c r="Y46" i="43"/>
  <c r="Y40" i="43"/>
  <c r="Y39" i="43"/>
  <c r="Y47" i="43"/>
  <c r="Y42" i="43"/>
  <c r="Y38" i="43"/>
  <c r="AG16" i="8"/>
  <c r="AU16" i="8"/>
  <c r="I30" i="43"/>
  <c r="Y48" i="43"/>
  <c r="Y45" i="43"/>
  <c r="Y37" i="43"/>
  <c r="Y44" i="43"/>
  <c r="Y36" i="43"/>
  <c r="W49" i="43"/>
  <c r="W41" i="43"/>
  <c r="D55" i="43"/>
  <c r="D56" i="43"/>
  <c r="I56" i="43"/>
  <c r="P59" i="44"/>
  <c r="N51" i="44"/>
  <c r="M48" i="44"/>
  <c r="M50" i="44"/>
  <c r="N56" i="44"/>
  <c r="P5" i="44"/>
  <c r="W6" i="44" s="1"/>
  <c r="P54" i="44"/>
  <c r="L56" i="44"/>
  <c r="P44" i="44"/>
  <c r="P52" i="44"/>
  <c r="J61" i="44"/>
  <c r="V56" i="44" s="1"/>
  <c r="P43" i="44"/>
  <c r="AU17" i="8" l="1"/>
  <c r="AH37" i="9" s="1"/>
  <c r="P50" i="44"/>
  <c r="L50" i="44"/>
  <c r="P48" i="44"/>
  <c r="L48" i="44"/>
  <c r="W56" i="44"/>
  <c r="W57" i="44" s="1"/>
  <c r="G6" i="45"/>
  <c r="K5" i="45" s="1"/>
  <c r="G48" i="45"/>
  <c r="I48" i="45" s="1"/>
  <c r="I52" i="45" s="1"/>
  <c r="V10" i="44"/>
  <c r="V7" i="44"/>
  <c r="I10" i="45"/>
  <c r="D69" i="43"/>
  <c r="F64" i="43"/>
  <c r="F63" i="43"/>
  <c r="I63" i="43"/>
  <c r="I64" i="43" s="1"/>
  <c r="G8" i="45" s="1"/>
  <c r="K8" i="45" s="1"/>
  <c r="D11" i="18"/>
  <c r="AJ18" i="9"/>
  <c r="AJ23" i="9" s="1"/>
  <c r="AE25" i="9" s="1"/>
  <c r="P49" i="44"/>
  <c r="P51" i="44"/>
  <c r="P53" i="44"/>
  <c r="X6" i="44"/>
  <c r="P42" i="44"/>
  <c r="M62" i="44"/>
  <c r="M63" i="44" s="1"/>
  <c r="G28" i="45" s="1"/>
  <c r="GJ8" i="45" l="1"/>
  <c r="GK8" i="45" s="1"/>
  <c r="GL8" i="45" s="1"/>
  <c r="GH8" i="45" s="1"/>
  <c r="BC36" i="9"/>
  <c r="AR36" i="9" s="1"/>
  <c r="BC37" i="9"/>
  <c r="AR37" i="9"/>
  <c r="GJ6" i="45"/>
  <c r="W7" i="44"/>
  <c r="X7" i="44" s="1"/>
  <c r="Y7" i="44" s="1"/>
  <c r="T9" i="9" s="1"/>
  <c r="AJ9" i="9" s="1"/>
  <c r="D15" i="45"/>
  <c r="D20" i="45" s="1"/>
  <c r="O28" i="45"/>
  <c r="D66" i="44"/>
  <c r="D25" i="18"/>
  <c r="V13" i="44"/>
  <c r="W10" i="44"/>
  <c r="F66" i="43"/>
  <c r="W9" i="44"/>
  <c r="P38" i="44"/>
  <c r="P61" i="44" s="1"/>
  <c r="N61" i="44" s="1"/>
  <c r="P62" i="44"/>
  <c r="I7" i="45" l="1"/>
  <c r="AI45" i="9"/>
  <c r="P28" i="45"/>
  <c r="I27" i="45" s="1"/>
  <c r="GK6" i="45"/>
  <c r="GL6" i="45" s="1"/>
  <c r="GK5" i="45"/>
  <c r="W13" i="44"/>
  <c r="D26" i="45"/>
  <c r="G36" i="45"/>
  <c r="DX36" i="45" s="1"/>
  <c r="D18" i="45"/>
  <c r="G30" i="45"/>
  <c r="DX30" i="45" s="1"/>
  <c r="D22" i="45"/>
  <c r="D19" i="45"/>
  <c r="G32" i="45"/>
  <c r="DX32" i="45" s="1"/>
  <c r="G38" i="45"/>
  <c r="DX38" i="45" s="1"/>
  <c r="D16" i="45"/>
  <c r="D21" i="45"/>
  <c r="D24" i="45"/>
  <c r="G37" i="45"/>
  <c r="DX37" i="45" s="1"/>
  <c r="G33" i="45"/>
  <c r="D25" i="45"/>
  <c r="G13" i="45"/>
  <c r="GH13" i="45" s="1"/>
  <c r="G12" i="45"/>
  <c r="GH12" i="45" s="1"/>
  <c r="G31" i="45"/>
  <c r="G35" i="45"/>
  <c r="D23" i="45"/>
  <c r="B52" i="45"/>
  <c r="X10" i="44"/>
  <c r="P63" i="44"/>
  <c r="P64" i="44" s="1"/>
  <c r="X9" i="44"/>
  <c r="W12" i="44"/>
  <c r="N62" i="44"/>
  <c r="GH6" i="45" l="1"/>
  <c r="I5" i="45" s="1"/>
  <c r="GF38" i="45"/>
  <c r="GG38" i="45" s="1"/>
  <c r="GH38" i="45" s="1"/>
  <c r="G14" i="45"/>
  <c r="GG26" i="45" s="1"/>
  <c r="GF33" i="45"/>
  <c r="GG33" i="45" s="1"/>
  <c r="GH29" i="45" s="1"/>
  <c r="GI13" i="45"/>
  <c r="I11" i="45" s="1"/>
  <c r="DX35" i="45"/>
  <c r="DX33" i="45"/>
  <c r="C39" i="18"/>
  <c r="K66" i="44"/>
  <c r="N64" i="44"/>
  <c r="D39" i="18" s="1"/>
  <c r="Y10" i="44"/>
  <c r="T10" i="9" s="1"/>
  <c r="AJ10" i="9" s="1"/>
  <c r="AJ11" i="9" s="1"/>
  <c r="AJ15" i="9" s="1"/>
  <c r="AE26" i="9" s="1"/>
  <c r="D27" i="9" s="1"/>
  <c r="GH34" i="45" l="1"/>
  <c r="I29" i="45" s="1"/>
  <c r="GI33" i="45"/>
  <c r="GJ33" i="45" s="1"/>
  <c r="GH26" i="45"/>
  <c r="I14" i="45" s="1"/>
  <c r="I40" i="45" l="1"/>
  <c r="I54" i="45" l="1"/>
  <c r="D50" i="18" s="1"/>
  <c r="B40" i="45"/>
</calcChain>
</file>

<file path=xl/comments1.xml><?xml version="1.0" encoding="utf-8"?>
<comments xmlns="http://schemas.openxmlformats.org/spreadsheetml/2006/main">
  <authors>
    <author>Stefano</author>
  </authors>
  <commentList>
    <comment ref="D9" authorId="0" shapeId="0">
      <text>
        <r>
          <rPr>
            <sz val="9"/>
            <color indexed="81"/>
            <rFont val="Tahoma"/>
            <family val="2"/>
          </rPr>
          <t>selezionare dal menù a tendina le colture o gli allevamenti. In caso di errore tasto CANC</t>
        </r>
      </text>
    </comment>
    <comment ref="C63" authorId="0" shapeId="0">
      <text>
        <r>
          <rPr>
            <sz val="9"/>
            <color indexed="81"/>
            <rFont val="Tahoma"/>
            <family val="2"/>
          </rPr>
          <t xml:space="preserve">se non è zona svantaggiata usare il tasto CANC per deselezionare
</t>
        </r>
      </text>
    </comment>
  </commentList>
</comments>
</file>

<file path=xl/comments2.xml><?xml version="1.0" encoding="utf-8"?>
<comments xmlns="http://schemas.openxmlformats.org/spreadsheetml/2006/main">
  <authors>
    <author>Stefano</author>
  </authors>
  <commentList>
    <comment ref="D4" authorId="0" shapeId="0">
      <text>
        <r>
          <rPr>
            <sz val="9"/>
            <color indexed="81"/>
            <rFont val="Tahoma"/>
            <family val="2"/>
          </rPr>
          <t>ATTENZIONE: gli investimenti in trasformazione e vendita limitano il contributo al 40%
Per eliminare la selezione tasto 
CANC</t>
        </r>
      </text>
    </comment>
    <comment ref="F4" authorId="0" shapeId="0">
      <text>
        <r>
          <rPr>
            <sz val="9"/>
            <color indexed="81"/>
            <rFont val="Tahoma"/>
            <family val="2"/>
          </rPr>
          <t xml:space="preserve">per eliminare la selezione nelle celle grigie usare CANC
</t>
        </r>
      </text>
    </comment>
    <comment ref="I4" authorId="0" shapeId="0">
      <text>
        <r>
          <rPr>
            <sz val="9"/>
            <color indexed="81"/>
            <rFont val="Tahoma"/>
            <family val="2"/>
          </rPr>
          <t xml:space="preserve">in questo campo deve essere riportata la descrizione sintetica dell'intervento. Se necessario, utilizzare una codifica da richiamare e dettagliare nella relazione
</t>
        </r>
      </text>
    </comment>
    <comment ref="K4" authorId="0" shapeId="0">
      <text>
        <r>
          <rPr>
            <sz val="9"/>
            <color indexed="81"/>
            <rFont val="Tahoma"/>
            <family val="2"/>
          </rPr>
          <t xml:space="preserve">dal menù a tendina possono essere scelti interventi a CM o sempre strutturali ma con fornitura esterna (es opera in appalto come fornitura e montaggio linea di lavorazione oppure foritura e montaggio impianto termico)
</t>
        </r>
      </text>
    </comment>
    <comment ref="L4" authorId="0" shapeId="0">
      <text>
        <r>
          <rPr>
            <sz val="9"/>
            <color indexed="81"/>
            <rFont val="Tahoma"/>
            <family val="2"/>
          </rPr>
          <t>questo valore si riferisce al totale investimento, esempio costo di una macchina o di un'opera completa, di cui è possibile indicare solo il totale</t>
        </r>
      </text>
    </comment>
    <comment ref="M4" authorId="0" shapeId="0">
      <text>
        <r>
          <rPr>
            <sz val="9"/>
            <color indexed="81"/>
            <rFont val="Tahoma"/>
            <family val="2"/>
          </rPr>
          <t xml:space="preserve">in questa casella viene ripropsoto il dato della della di sx ma può essere indicato anche un valore inferiore, in modo da evitare il supero dei massimali previsti. Se si inserisce un valore superiore si accende un alert
</t>
        </r>
      </text>
    </comment>
    <comment ref="M41" authorId="0" shapeId="0">
      <text>
        <r>
          <rPr>
            <sz val="9"/>
            <color indexed="81"/>
            <rFont val="Tahoma"/>
            <family val="2"/>
          </rPr>
          <t xml:space="preserve">la procedura restituisce il calcolo automatico delle spese tecniche massime richiedibili. Il dato può essere modificato in diminuzione
</t>
        </r>
      </text>
    </comment>
    <comment ref="B90" authorId="0" shapeId="0">
      <text>
        <r>
          <rPr>
            <b/>
            <sz val="9"/>
            <color indexed="81"/>
            <rFont val="Tahoma"/>
            <family val="2"/>
          </rPr>
          <t>il criterio di maggiorazione selezionato è alternativo al successivo e non è consentito chiederli ambedue</t>
        </r>
        <r>
          <rPr>
            <sz val="9"/>
            <color indexed="81"/>
            <rFont val="Tahoma"/>
            <family val="2"/>
          </rPr>
          <t xml:space="preserve">
</t>
        </r>
      </text>
    </comment>
  </commentList>
</comments>
</file>

<file path=xl/comments3.xml><?xml version="1.0" encoding="utf-8"?>
<comments xmlns="http://schemas.openxmlformats.org/spreadsheetml/2006/main">
  <authors>
    <author>Stefano</author>
  </authors>
  <commentList>
    <comment ref="V38" authorId="0" shapeId="0">
      <text>
        <r>
          <rPr>
            <sz val="9"/>
            <color indexed="81"/>
            <rFont val="Tahoma"/>
            <family val="2"/>
          </rPr>
          <t xml:space="preserve">riportare nelle sezkioni il riferimento sintetico agli interventi che determinano il raggiungimento dell'obbiettivo. Il dettaglio va
 essere descritto nella relazione tecnica
</t>
        </r>
      </text>
    </comment>
  </commentList>
</comments>
</file>

<file path=xl/comments4.xml><?xml version="1.0" encoding="utf-8"?>
<comments xmlns="http://schemas.openxmlformats.org/spreadsheetml/2006/main">
  <authors>
    <author>Stefano</author>
  </authors>
  <commentList>
    <comment ref="C17" authorId="0" shapeId="0">
      <text>
        <r>
          <rPr>
            <sz val="11"/>
            <color indexed="81"/>
            <rFont val="Tahoma"/>
            <family val="2"/>
          </rPr>
          <t>riportare per ogni intervento a valenza ambientale il relativo costo. La procedura verifica che non venga superato il totale degli investimenti già inseriti al PAS 4</t>
        </r>
        <r>
          <rPr>
            <sz val="9"/>
            <color indexed="81"/>
            <rFont val="Tahoma"/>
            <family val="2"/>
          </rPr>
          <t xml:space="preserve">
</t>
        </r>
      </text>
    </comment>
  </commentList>
</comments>
</file>

<file path=xl/sharedStrings.xml><?xml version="1.0" encoding="utf-8"?>
<sst xmlns="http://schemas.openxmlformats.org/spreadsheetml/2006/main" count="2887" uniqueCount="1230">
  <si>
    <t>Informazioni anagrafiche</t>
  </si>
  <si>
    <t>1.2  Natura Giuridica:</t>
  </si>
  <si>
    <t>Fax:</t>
  </si>
  <si>
    <t>Cellulare:</t>
  </si>
  <si>
    <t>Email:</t>
  </si>
  <si>
    <t>I dati forniti vengono trattati in modo riservato come previsto dal Decreto legislativo n. 196/2003.</t>
  </si>
  <si>
    <t>TOTALE</t>
  </si>
  <si>
    <t>N°</t>
  </si>
  <si>
    <t>Codice</t>
  </si>
  <si>
    <t>Altro (specificare)</t>
  </si>
  <si>
    <t>1 CV = 0,7355 kW</t>
  </si>
  <si>
    <t>F1</t>
  </si>
  <si>
    <t>F2</t>
  </si>
  <si>
    <t>PEC:</t>
  </si>
  <si>
    <t>1.1b  Nome azienda:</t>
  </si>
  <si>
    <t>D01</t>
  </si>
  <si>
    <t>D02</t>
  </si>
  <si>
    <t>Frumento duro</t>
  </si>
  <si>
    <t>D03</t>
  </si>
  <si>
    <t>Segale</t>
  </si>
  <si>
    <t>D04</t>
  </si>
  <si>
    <t>Orzo</t>
  </si>
  <si>
    <t>D05</t>
  </si>
  <si>
    <t>Avena</t>
  </si>
  <si>
    <t>D06</t>
  </si>
  <si>
    <t>Mais</t>
  </si>
  <si>
    <t>D07</t>
  </si>
  <si>
    <t>Riso</t>
  </si>
  <si>
    <t>D08</t>
  </si>
  <si>
    <t>Altri cereali da granella (sorgo, miglio, panico, farro, ecc.)</t>
  </si>
  <si>
    <t>D10</t>
  </si>
  <si>
    <t>Patate (comprese le patate primaticce e da semina)</t>
  </si>
  <si>
    <t>D11</t>
  </si>
  <si>
    <t>D12</t>
  </si>
  <si>
    <t>D23</t>
  </si>
  <si>
    <t>Tabacco</t>
  </si>
  <si>
    <t>D24</t>
  </si>
  <si>
    <t>Luppolo</t>
  </si>
  <si>
    <t>D26</t>
  </si>
  <si>
    <t>Colza e ravizzone</t>
  </si>
  <si>
    <t>D27</t>
  </si>
  <si>
    <t>Girasole</t>
  </si>
  <si>
    <t>D28</t>
  </si>
  <si>
    <t>Soia</t>
  </si>
  <si>
    <t>D29</t>
  </si>
  <si>
    <t>D30</t>
  </si>
  <si>
    <t>Altre oleaginose erbacee</t>
  </si>
  <si>
    <t>D31</t>
  </si>
  <si>
    <t>D32</t>
  </si>
  <si>
    <t>Canapa</t>
  </si>
  <si>
    <t>D33</t>
  </si>
  <si>
    <t>Altre colture tessili</t>
  </si>
  <si>
    <t>D34</t>
  </si>
  <si>
    <t>D35</t>
  </si>
  <si>
    <t>Altre piante industriali</t>
  </si>
  <si>
    <t>D14A</t>
  </si>
  <si>
    <t>D14B</t>
  </si>
  <si>
    <t>D15</t>
  </si>
  <si>
    <t>D16</t>
  </si>
  <si>
    <t>D17</t>
  </si>
  <si>
    <t>D18A</t>
  </si>
  <si>
    <t>D18C</t>
  </si>
  <si>
    <t>Erbaio di mais da foraggio</t>
  </si>
  <si>
    <t>D18D</t>
  </si>
  <si>
    <t>Erbaio di leguminose da foraggio</t>
  </si>
  <si>
    <t>D18B</t>
  </si>
  <si>
    <t>D19</t>
  </si>
  <si>
    <t>D20</t>
  </si>
  <si>
    <t>Altri colture per seminativi (compresi affitti sotto l’anno)</t>
  </si>
  <si>
    <t>D21</t>
  </si>
  <si>
    <t>Terreni a riposo senza aiuto</t>
  </si>
  <si>
    <t>F01</t>
  </si>
  <si>
    <t>Prati permanenti e pascoli</t>
  </si>
  <si>
    <t>F02</t>
  </si>
  <si>
    <t>Pascoli magri</t>
  </si>
  <si>
    <t>G01A</t>
  </si>
  <si>
    <t>G01B</t>
  </si>
  <si>
    <t>G01D</t>
  </si>
  <si>
    <t>Piccoli frutti</t>
  </si>
  <si>
    <t>G01C</t>
  </si>
  <si>
    <t>G02</t>
  </si>
  <si>
    <t>Agrumeti</t>
  </si>
  <si>
    <t>G03A</t>
  </si>
  <si>
    <t>G03B</t>
  </si>
  <si>
    <t>G04A</t>
  </si>
  <si>
    <t>G04B</t>
  </si>
  <si>
    <t>G04C</t>
  </si>
  <si>
    <t>G04D</t>
  </si>
  <si>
    <t>G05</t>
  </si>
  <si>
    <t>G06</t>
  </si>
  <si>
    <t>Altre colture permanenti</t>
  </si>
  <si>
    <t>G07</t>
  </si>
  <si>
    <t>I02</t>
  </si>
  <si>
    <t>J01</t>
  </si>
  <si>
    <t>J02</t>
  </si>
  <si>
    <t>J03</t>
  </si>
  <si>
    <t>Bovini maschi da 1 a meno di 2 anni</t>
  </si>
  <si>
    <t>J04</t>
  </si>
  <si>
    <t>Bovini femmine da 1 a meno di 2 anni</t>
  </si>
  <si>
    <t>J05</t>
  </si>
  <si>
    <t>J06</t>
  </si>
  <si>
    <t>Giovenche di 2 anni e più</t>
  </si>
  <si>
    <t>J07</t>
  </si>
  <si>
    <t>J08</t>
  </si>
  <si>
    <t>Altre vacche (vacche nutrici, vacche da riforma)</t>
  </si>
  <si>
    <t>J09A</t>
  </si>
  <si>
    <t>Pecore</t>
  </si>
  <si>
    <t>J09B</t>
  </si>
  <si>
    <t>J10A</t>
  </si>
  <si>
    <t>Capre</t>
  </si>
  <si>
    <t>J10B</t>
  </si>
  <si>
    <t>J11</t>
  </si>
  <si>
    <t>J12</t>
  </si>
  <si>
    <t>J13</t>
  </si>
  <si>
    <t>J14</t>
  </si>
  <si>
    <t>J15</t>
  </si>
  <si>
    <t>J16A</t>
  </si>
  <si>
    <t>Tacchini</t>
  </si>
  <si>
    <t>J16B</t>
  </si>
  <si>
    <t>J16C</t>
  </si>
  <si>
    <t>Struzzi</t>
  </si>
  <si>
    <t>J16D</t>
  </si>
  <si>
    <t>Altro pollame (faraone, ecc.)</t>
  </si>
  <si>
    <t>J17</t>
  </si>
  <si>
    <t>J18</t>
  </si>
  <si>
    <t>Api</t>
  </si>
  <si>
    <t>Zona svantaggiata</t>
  </si>
  <si>
    <t>Comune</t>
  </si>
  <si>
    <t>Sezione</t>
  </si>
  <si>
    <t>Foglio</t>
  </si>
  <si>
    <t>Mappale</t>
  </si>
  <si>
    <t>Sub.</t>
  </si>
  <si>
    <t>Destinazione corrente</t>
  </si>
  <si>
    <t>F3</t>
  </si>
  <si>
    <t>F4</t>
  </si>
  <si>
    <t>F5</t>
  </si>
  <si>
    <t>Destinazione prevista</t>
  </si>
  <si>
    <t>Marca</t>
  </si>
  <si>
    <t>Modello</t>
  </si>
  <si>
    <t>Tipologia di spesa</t>
  </si>
  <si>
    <t>investimento previsto</t>
  </si>
  <si>
    <t>Coeff.</t>
  </si>
  <si>
    <t>rata di reintegrazione</t>
  </si>
  <si>
    <t>MIS</t>
  </si>
  <si>
    <t>Domanda PSR N°</t>
  </si>
  <si>
    <t>Totale rata reintegrazione annua PSR</t>
  </si>
  <si>
    <t>40% della (PST + PAC) (importo massimo per il reintegro degli investimenti)</t>
  </si>
  <si>
    <t xml:space="preserve">Produzioni Standard Totale (PST) aziendale annuale a fine investimento </t>
  </si>
  <si>
    <t>S1</t>
  </si>
  <si>
    <t>S2</t>
  </si>
  <si>
    <t>S3</t>
  </si>
  <si>
    <t>S4</t>
  </si>
  <si>
    <t>S5</t>
  </si>
  <si>
    <t>S6</t>
  </si>
  <si>
    <t>S7</t>
  </si>
  <si>
    <t>o Business Plan</t>
  </si>
  <si>
    <t>1.   DATI IDENTIFICATIVI DEL RICHIEDENTE</t>
  </si>
  <si>
    <t xml:space="preserve"> (devono essere i medesimi della domanda di sostegno e del fascicolo aziendale collegati)</t>
  </si>
  <si>
    <t>1.1a  Cognome Nome</t>
  </si>
  <si>
    <t>Il/La sottoscritto/a</t>
  </si>
  <si>
    <t>nella qualità di</t>
  </si>
  <si>
    <t>1.6 l'azienda dispone di un proprio sito web all'indirizzo URL</t>
  </si>
  <si>
    <t>Trasformazione aziendale di prodotti agricoli</t>
  </si>
  <si>
    <t>Prodotto/i ottenuto/i</t>
  </si>
  <si>
    <t>TRASFORMAZIONE E COMMERCIALIZZAZIONE</t>
  </si>
  <si>
    <t>Investimenti - Prestazioni e sostenibilità globale dell'azienda</t>
  </si>
  <si>
    <t>Importo annuale</t>
  </si>
  <si>
    <t>S8</t>
  </si>
  <si>
    <t>S9</t>
  </si>
  <si>
    <t>S10</t>
  </si>
  <si>
    <t>S11</t>
  </si>
  <si>
    <t>S12</t>
  </si>
  <si>
    <t>S13</t>
  </si>
  <si>
    <t>ESITO SOSTENIBILITA' FINANZIARIA ED ECONOMICA</t>
  </si>
  <si>
    <t xml:space="preserve">Produzioni Standard Totale (PST) e premi e contributi PAC annuali </t>
  </si>
  <si>
    <t>S14</t>
  </si>
  <si>
    <t>S15</t>
  </si>
  <si>
    <t>S16</t>
  </si>
  <si>
    <t>COLONNA CALCOLO</t>
  </si>
  <si>
    <t>+10% zone soggette a vincoli naturali o altri vincoli</t>
  </si>
  <si>
    <t>Imprese operanti in aree rurali di tipo D</t>
  </si>
  <si>
    <t>Criteri di selezione - Autovalutazione</t>
  </si>
  <si>
    <t>RELAZIONE DESCRITTIVA A CORREDO DEL PAS</t>
  </si>
  <si>
    <t>2. COLTURE E ALLEVAMENTI - PRODUZIONE STANDARD (P.S.) ATTUALE E DA PROGETTO</t>
  </si>
  <si>
    <t>3. VERIFICA PRODUZIONE STANDARD MINIMA</t>
  </si>
  <si>
    <t>4. TRASFORMAZIONE E COMMERCIALIZZAZIONE</t>
  </si>
  <si>
    <t>7.   ARTICOLAZIONE DEGLI INVESTIMENTI</t>
  </si>
  <si>
    <t>OBIETTIVI DELL'AZIENDA</t>
  </si>
  <si>
    <t>… specificare quali sono gli obiettivi che l'azienda si è posta in termini economici e ambientali e come intende valutare l'incremento delle performance</t>
  </si>
  <si>
    <t>Tipologia di entrate</t>
  </si>
  <si>
    <t>11.1  Sostenibilità finanziaria ed economica degli investimenti</t>
  </si>
  <si>
    <t>11.2  Incremento delle prestazioni aziendali in termini economici o ambientali</t>
  </si>
  <si>
    <t>11.   VALUTAZIONE DELLE PRESTAZIONI E SOSTENIBILITA' GLOBALE DELL'AZIENDA</t>
  </si>
  <si>
    <t>… specificare come si è giunti a definire gli importi inseriti in tabella</t>
  </si>
  <si>
    <t>L'azienda ha l'obiettivo di aderire a regimi di qualità certificata di valenza ambientale</t>
  </si>
  <si>
    <t>12.   PUNTEGGIO IN BASE AI CRITERI DI SELEZIONE</t>
  </si>
  <si>
    <t>campi gialli</t>
  </si>
  <si>
    <t>campi azzurri</t>
  </si>
  <si>
    <t>TC1</t>
  </si>
  <si>
    <t>TC2</t>
  </si>
  <si>
    <t>TC3</t>
  </si>
  <si>
    <t>TC4</t>
  </si>
  <si>
    <t>TC5</t>
  </si>
  <si>
    <t>TC6</t>
  </si>
  <si>
    <t>TC7</t>
  </si>
  <si>
    <t>F6</t>
  </si>
  <si>
    <t>F7</t>
  </si>
  <si>
    <t>F8</t>
  </si>
  <si>
    <t>F9</t>
  </si>
  <si>
    <t>F10</t>
  </si>
  <si>
    <t>I lavori da effettuare in economia saranno:</t>
  </si>
  <si>
    <t>Cognome Nome</t>
  </si>
  <si>
    <t>Codice Fiscale</t>
  </si>
  <si>
    <t>Le persone che presteranno manodopera per tali lavori sono:</t>
  </si>
  <si>
    <t>… descrivere le tipologie di lavori riferite al computo metrico allegato</t>
  </si>
  <si>
    <t>Il richiedente DICHIARA che</t>
  </si>
  <si>
    <t>Le opere da realizzare sono compatibili con le capacità fisiche e professionali, con le strutture e i mezzi tecnici in dotazione all'azienda</t>
  </si>
  <si>
    <t>8.   CRONOPROGRAMMA E LAVORI IN ECONOMIA</t>
  </si>
  <si>
    <t>TOTALE SUPERFICIE</t>
  </si>
  <si>
    <t>MA1</t>
  </si>
  <si>
    <t>MA2</t>
  </si>
  <si>
    <t>MA3</t>
  </si>
  <si>
    <t>MA4</t>
  </si>
  <si>
    <t>MA5</t>
  </si>
  <si>
    <t>MA6</t>
  </si>
  <si>
    <t>MA7</t>
  </si>
  <si>
    <t>MA8</t>
  </si>
  <si>
    <t>MA9</t>
  </si>
  <si>
    <t>MA10</t>
  </si>
  <si>
    <t>T1</t>
  </si>
  <si>
    <t>T2</t>
  </si>
  <si>
    <t>T3</t>
  </si>
  <si>
    <t>T4</t>
  </si>
  <si>
    <t xml:space="preserve">L'importo delle lavorazioni con prestazione di lavoro volontario non retribuito ammontano ad € </t>
  </si>
  <si>
    <t xml:space="preserve">alcuni campi formula prendono colore </t>
  </si>
  <si>
    <t xml:space="preserve">rosso </t>
  </si>
  <si>
    <t xml:space="preserve">o </t>
  </si>
  <si>
    <t>verde</t>
  </si>
  <si>
    <t>TC8</t>
  </si>
  <si>
    <t>TC9</t>
  </si>
  <si>
    <t>TC10</t>
  </si>
  <si>
    <t>firma</t>
  </si>
  <si>
    <t>Anno acquisto</t>
  </si>
  <si>
    <t>-  si possano valutare gli obiettivi che l'azienda si pone e le modalità con cui intende raggiungerli, nonché gli impegni derivanti;</t>
  </si>
  <si>
    <t>a seconda che l'esito sia rispettivamente negativo o positivo</t>
  </si>
  <si>
    <t>… specificare eventuali altre coltivazioni ed altri allevamenti e relativa valutazione della produzione standard non riconducibile alle tabelle INEA, gistificare eventuali difformità o casi particolari</t>
  </si>
  <si>
    <t>COME DA TABELLA DEL PAS</t>
  </si>
  <si>
    <t xml:space="preserve"> … specificare come, fornendo valori comparabili ante e post intervento e le modalità di realizzazione, giustificando anche gli importi inseriti in tabella</t>
  </si>
  <si>
    <t>LAVORI IN ECONOMIA: … fornire indicazioni che dimostrino l'idoneità ad effettuare tali lavori se previsti, anche tenuto conto della loro entità rapportata alla manodopera presente</t>
  </si>
  <si>
    <t>Descrizione attività</t>
  </si>
  <si>
    <t>Dettaglio settore (vedere sotto)</t>
  </si>
  <si>
    <t>T5</t>
  </si>
  <si>
    <t>T6</t>
  </si>
  <si>
    <t>T7</t>
  </si>
  <si>
    <t>T8</t>
  </si>
  <si>
    <t>T9</t>
  </si>
  <si>
    <t>T10</t>
  </si>
  <si>
    <t>LIG1</t>
  </si>
  <si>
    <t>LIG2</t>
  </si>
  <si>
    <t>LIG3</t>
  </si>
  <si>
    <t>Sup. da recuperare (ha)</t>
  </si>
  <si>
    <t>Sub</t>
  </si>
  <si>
    <t>Il recupero dei terreni ad uso agricolo presuppone la disponibilità degli idonei titoli autorizzativi ai sensi delle leggi vigenti.</t>
  </si>
  <si>
    <t>6.   INTERVENTI E VARIAZIONI SU FABBRICATI E MEZZI DI PRODUZIONE</t>
  </si>
  <si>
    <t>La consistenza dei fabbricati deve essere in linea con quanto indicato sul Fascicolo Aziendale e sulla Domanda di sostegno per quanto non qui riportato, per gli importi del valore stimato si rimanda alla relazione ed agli allegati.</t>
  </si>
  <si>
    <t>Selezionare dal menù a tendina</t>
  </si>
  <si>
    <t>ANTE</t>
  </si>
  <si>
    <t>POST</t>
  </si>
  <si>
    <t>a)</t>
  </si>
  <si>
    <t>b)</t>
  </si>
  <si>
    <t>c)</t>
  </si>
  <si>
    <t>d)</t>
  </si>
  <si>
    <t>Premi e contributi annuali PAC o per misure PSR a superficie ed a capo</t>
  </si>
  <si>
    <t>Specificare tipo di premio o contributo, fornendo gli opportuni riferimenti necessari alle verifiche istruttorie ……</t>
  </si>
  <si>
    <t>Il richiedente DICHIARA che tutti gli interventi previsti sono immediatamente eseguibili, dotati quindi di tutte le necessarie autorizzazioni, concessioni, permessi, preventivi, eccetera, ai sensi della normativa applicabile</t>
  </si>
  <si>
    <t>Basilico in serra</t>
  </si>
  <si>
    <t>Basilico in orto industriale</t>
  </si>
  <si>
    <t>LIG4</t>
  </si>
  <si>
    <t>Trasformazione in formaggio del latte vaccino  in azienda</t>
  </si>
  <si>
    <t>e)</t>
  </si>
  <si>
    <t>f)</t>
  </si>
  <si>
    <t>g)</t>
  </si>
  <si>
    <t>Data</t>
  </si>
  <si>
    <t>Luogo</t>
  </si>
  <si>
    <t xml:space="preserve">… specificare se presenti casi particolari </t>
  </si>
  <si>
    <t>Non sono ammessi interventi di mera sostituzione come definiti sul bando della sottomisura 4.1 e cap 8 del PSR.</t>
  </si>
  <si>
    <t>LIGA</t>
  </si>
  <si>
    <t>I prodotti da trasformare e quelli ottenuti dalla trasformazione devono essere necessariamente quelli previsti nell'Allegato I del Trattato di Funzionamento dell'Unione Europea (TFUE) pena la non ammissibilità al sostegno dei relativi interventi.</t>
  </si>
  <si>
    <t xml:space="preserve">% sul totale del  prodotto </t>
  </si>
  <si>
    <t>es. DOP, IGP</t>
  </si>
  <si>
    <t>es. vino</t>
  </si>
  <si>
    <t>Destinazione effettiva corrente</t>
  </si>
  <si>
    <t>6.2  Macchine ed attrezzi (solo quelli oggetto di acquisto, se simili o comparabili a quelli già presenti in azienda, per verificare la sostituzione)</t>
  </si>
  <si>
    <t>es. laboratorio</t>
  </si>
  <si>
    <t>es. deposito</t>
  </si>
  <si>
    <t>es. ristrutturazione</t>
  </si>
  <si>
    <t>… specificare le attività di trasformazione, confezionamento e commercializzazione svolte ed i prodotti coinvolti, indicare in che maniera ed in che misura l'azienda colloca o intende collocare i suoi prodotti sul mercato fornendo dati misurabili e verificabili</t>
  </si>
  <si>
    <t>… specificare e allegare documentazione (foto aeree o foto panoramiche, etc) attestante la mancata coltivazione dei terreni nei cinque anni precedenti e dichiarare se presenti idonei titoli autorizzativi (es. aree Natura 2000) o se si ricorre a comunicazioni obbligatorie (es ex L.R. 4/1999)</t>
  </si>
  <si>
    <t>… specificare le valutazioni in merito agli interventi su fabbricati, richiamando ed allegando le relazioni e perizie tecniche necessarie per la valutazione del valore degli immobili e del costo di ristrutturazione e/o costruzione, ai sensi del bando della mis. 4.1. Specificare le implicazioni in caso di rilocalizzazione, dismissione, sostituzione degli immobili.</t>
  </si>
  <si>
    <t>Specifiche sostituzione</t>
  </si>
  <si>
    <t>Trasformazione aziendale di prodotti del sottobosco</t>
  </si>
  <si>
    <t>Tipo macchina/attrezzatura</t>
  </si>
  <si>
    <t>La consistenza di macchine ed attrezzature ad inizio piano deve essere in linea con quanto indicato sul Fascicolo Aziendale per quanto non qui riportato.</t>
  </si>
  <si>
    <t>che utilizzerà per la pubblicità al sostegno ricevuto</t>
  </si>
  <si>
    <t>Oliveti per olive da olio DOP - COMPRENDE TRASFORMAZIONE</t>
  </si>
  <si>
    <t>Oliveti per olive da olio BIO - COMPRENDE TRASFORMAZIONE</t>
  </si>
  <si>
    <t>Trasformazione aziendale di prodotti zootecnici</t>
  </si>
  <si>
    <t xml:space="preserve">Per evidenziare che  tali attività in azienda sussistono, sono incrementete o inserite ex novo, si raccomanda di compilare i relativi campi. Le voci relative a Vigneti, Oliveti e Trasformazione del latte vaccino nella tabella della Produzione Standard al punto 2 già conglobano la trasformazione dei prodotti in vino, olio e formaggio, ma vanno anche qui dettagliati. </t>
  </si>
  <si>
    <t>Commercializzaz. diretta di prodotti fuori azienda</t>
  </si>
  <si>
    <t>Commercializzaz. diretta di prodotti in azienda</t>
  </si>
  <si>
    <t>Conto lavorazione c/o altre aziende ma vendita diretta</t>
  </si>
  <si>
    <t>Conferimento ad altra azienda per trasformazione</t>
  </si>
  <si>
    <t>Sup.  catastale tot (ha)</t>
  </si>
  <si>
    <t>es. tare o bosco</t>
  </si>
  <si>
    <t>Intervento previsto (ristrutturazione, costruzione, rilocalizzazione, acquisto, dismissione, etc)</t>
  </si>
  <si>
    <t>STIMA DEL PESO % DELLE ATTIVITA'</t>
  </si>
  <si>
    <t>Capacità prod. attuale</t>
  </si>
  <si>
    <t>Capacità prod.attesa</t>
  </si>
  <si>
    <t>Spese generali e tecniche</t>
  </si>
  <si>
    <t xml:space="preserve">totale investimenti per fabbricati ed opere fisse </t>
  </si>
  <si>
    <t xml:space="preserve">totale investimenti per macchinari ed attrezzature o altro </t>
  </si>
  <si>
    <t>LIG5</t>
  </si>
  <si>
    <t>Zafferano</t>
  </si>
  <si>
    <t>LIGB</t>
  </si>
  <si>
    <t>Elicicoltura</t>
  </si>
  <si>
    <t>PRODUZIONE STANDARD</t>
  </si>
  <si>
    <t>REQUISITI AZIENDALI</t>
  </si>
  <si>
    <t>Versione 2022</t>
  </si>
  <si>
    <t>campi celesti</t>
  </si>
  <si>
    <t>utilizzare le opzioni del menù a tendina</t>
  </si>
  <si>
    <r>
      <rPr>
        <b/>
        <sz val="18"/>
        <rFont val="Arial"/>
        <family val="2"/>
      </rPr>
      <t>REGOLAMENTO (CE) N. 1305/2013</t>
    </r>
    <r>
      <rPr>
        <b/>
        <sz val="28"/>
        <rFont val="Arial"/>
        <family val="2"/>
      </rPr>
      <t xml:space="preserve"> </t>
    </r>
  </si>
  <si>
    <t>istruzioni di compilazione:</t>
  </si>
  <si>
    <t>Una copia del PAS rimane all’agricoltore allegata alla relativa domanda</t>
  </si>
  <si>
    <t>Il piano aziendale è valido se compilato in tutti i campi obbligatori</t>
  </si>
  <si>
    <t>che</t>
  </si>
  <si>
    <r>
      <rPr>
        <b/>
        <sz val="48"/>
        <rFont val="Arial"/>
        <family val="2"/>
      </rPr>
      <t>P</t>
    </r>
    <r>
      <rPr>
        <b/>
        <sz val="28"/>
        <rFont val="Arial"/>
        <family val="2"/>
      </rPr>
      <t>IANO</t>
    </r>
    <r>
      <rPr>
        <b/>
        <sz val="40"/>
        <rFont val="Arial"/>
        <family val="2"/>
      </rPr>
      <t xml:space="preserve"> </t>
    </r>
    <r>
      <rPr>
        <b/>
        <sz val="48"/>
        <rFont val="Arial"/>
        <family val="2"/>
      </rPr>
      <t>A</t>
    </r>
    <r>
      <rPr>
        <b/>
        <sz val="28"/>
        <rFont val="Arial"/>
        <family val="2"/>
      </rPr>
      <t>ZIENDALE</t>
    </r>
    <r>
      <rPr>
        <b/>
        <sz val="40"/>
        <rFont val="Arial"/>
        <family val="2"/>
      </rPr>
      <t xml:space="preserve"> </t>
    </r>
    <r>
      <rPr>
        <b/>
        <sz val="28"/>
        <rFont val="Arial"/>
        <family val="2"/>
      </rPr>
      <t>DI</t>
    </r>
    <r>
      <rPr>
        <b/>
        <sz val="48"/>
        <rFont val="Arial"/>
        <family val="2"/>
      </rPr>
      <t xml:space="preserve"> S</t>
    </r>
    <r>
      <rPr>
        <b/>
        <sz val="28"/>
        <rFont val="Arial"/>
        <family val="2"/>
      </rPr>
      <t>VILUPPO (PAS)</t>
    </r>
  </si>
  <si>
    <t>p.iva</t>
  </si>
  <si>
    <t>L'impresa è condotta da</t>
  </si>
  <si>
    <t>selezionare l'opzione scelta con una X</t>
  </si>
  <si>
    <t>X</t>
  </si>
  <si>
    <t xml:space="preserve">della OCM </t>
  </si>
  <si>
    <t>DICHIARA che i dati di seguito riportati sono aderenti alla realtà e:</t>
  </si>
  <si>
    <t>aderente ad OP (organizzazione di produttori)</t>
  </si>
  <si>
    <t>- Il quadro aziendale descitto nel PAS fa riferimento alla consistenza del Fascicolo Aziendale al momento della presentazione della domanda mentre la situazione a fine piano è quella prevista secondo le valutazioni attuali; quest'ultima è pertanto oggetto di impegno da parte del beneficiaio, salvo variante motivata.</t>
  </si>
  <si>
    <t>Il sottoscritto precisa di seguito i contatti dove è reperibile per le verifiche istruttorie e i sopralluoghi:</t>
  </si>
  <si>
    <t>richiedente</t>
  </si>
  <si>
    <t xml:space="preserve">SITUAZIONE INIZIALE </t>
  </si>
  <si>
    <t>riferimento fascicolo Agea n.</t>
  </si>
  <si>
    <t>del</t>
  </si>
  <si>
    <t>n ord</t>
  </si>
  <si>
    <t>cod Inea</t>
  </si>
  <si>
    <t>descrizione coltura o attività di allevamento</t>
  </si>
  <si>
    <t>u mis</t>
  </si>
  <si>
    <t>sede aziendale</t>
  </si>
  <si>
    <t>ps minima</t>
  </si>
  <si>
    <t>Zona NON svantaggiata</t>
  </si>
  <si>
    <t>VERIFICA PRODUZIONE STANDARD MINIMA PER ACCESSO ALLA MISURA</t>
  </si>
  <si>
    <t>Frumento tenero e spelta</t>
  </si>
  <si>
    <t>EUR_per_ha</t>
  </si>
  <si>
    <t>Legumonose da granella (piselli, fave e favette, lupini dolci)</t>
  </si>
  <si>
    <t>D09A</t>
  </si>
  <si>
    <t>Legumonose da granella eslusi piselli, fave e favette, lupini dolci</t>
  </si>
  <si>
    <t>D09B</t>
  </si>
  <si>
    <t>Barbabietola da zucchero</t>
  </si>
  <si>
    <t>Piante sarchiate foraggere</t>
  </si>
  <si>
    <t>Cotone</t>
  </si>
  <si>
    <t>D25</t>
  </si>
  <si>
    <t>Lino da olio</t>
  </si>
  <si>
    <t>Lino da fibra</t>
  </si>
  <si>
    <t>Piante aromatiche, medicinali e da condimento</t>
  </si>
  <si>
    <t>Orticole - all'aperto - in pieno campo</t>
  </si>
  <si>
    <t>Orticole - all'aperto - in orto industriale</t>
  </si>
  <si>
    <t>Orticole - in serra</t>
  </si>
  <si>
    <t>Fiori e piante ornamentali - all'aperto</t>
  </si>
  <si>
    <t>Fiori e piante ornamentali - in serra</t>
  </si>
  <si>
    <t>Semi e piantine seminativi</t>
  </si>
  <si>
    <t>Frutteti - di origine temperata</t>
  </si>
  <si>
    <t>Frutteti - di origine sub-tropicale</t>
  </si>
  <si>
    <t>Frutteti - frutta a guscio</t>
  </si>
  <si>
    <t>Oliveti - per olive da tavola</t>
  </si>
  <si>
    <t>Oliveti - per olive da olio (olio)</t>
  </si>
  <si>
    <t>Vigneti - per uva da vino di qualità (vino)</t>
  </si>
  <si>
    <t>Vigneti - per uva da vino comune (vino)</t>
  </si>
  <si>
    <t>Vigneti - per uva da tavola</t>
  </si>
  <si>
    <t>Uva passa</t>
  </si>
  <si>
    <t>Vivai</t>
  </si>
  <si>
    <t>Colture permanenti in serra (Frutteti - di or.temp.)</t>
  </si>
  <si>
    <t>Funghi coltivati sotto copertura (100 mq) - 7,2 raccolti</t>
  </si>
  <si>
    <t>EUR_per_100_m2</t>
  </si>
  <si>
    <t>Equini</t>
  </si>
  <si>
    <t>EUR_per_capo</t>
  </si>
  <si>
    <t>Bovini maschi e femmine meno di 1 anno</t>
  </si>
  <si>
    <t>Bovini maschii d 2 anni e più</t>
  </si>
  <si>
    <t>Vacche da latte</t>
  </si>
  <si>
    <t>Ovini - altri (arienti e agnelli)</t>
  </si>
  <si>
    <t>Caprini - altri</t>
  </si>
  <si>
    <t>Suini - lattonzoli &lt; 20 Kg</t>
  </si>
  <si>
    <t>Suini - scrofe da riproduzione &gt; 50 Kg</t>
  </si>
  <si>
    <t>Suini - altri (verri e suini da ingrasso &gt; 20 Kg)</t>
  </si>
  <si>
    <t>Polli da carne (broilers)</t>
  </si>
  <si>
    <t>EUR_per_100_capi</t>
  </si>
  <si>
    <t>Galline ovaiole</t>
  </si>
  <si>
    <t>Anatre e oche</t>
  </si>
  <si>
    <t>Conigli - fattrici</t>
  </si>
  <si>
    <t>EUR_per_alveare</t>
  </si>
  <si>
    <t>Altra colt. o allev. (allegare analisi della Prod Standard proposta)</t>
  </si>
  <si>
    <t>di aver costituito e aggiornato il fascicolo aziendale Agea, scheda di validazione n.</t>
  </si>
  <si>
    <t>cod</t>
  </si>
  <si>
    <t>ARTICOLAZIONE DEGLI INVESTIMENTI</t>
  </si>
  <si>
    <t>descrizione intervento</t>
  </si>
  <si>
    <t>rif voce di costo</t>
  </si>
  <si>
    <t>% contrib</t>
  </si>
  <si>
    <t>riepilogo costo intervento</t>
  </si>
  <si>
    <t>importo max spese tecniche</t>
  </si>
  <si>
    <t>totale investimenti</t>
  </si>
  <si>
    <t>totale spese generali e tecniche</t>
  </si>
  <si>
    <t>TOTALE CONTRIBUTO RICHIESTO</t>
  </si>
  <si>
    <t>Principi concernenti la fissazione dei criteri di selezione (PSR)</t>
  </si>
  <si>
    <t>Declinazione</t>
  </si>
  <si>
    <t>Imprese condotte, al momento di presentazione della domanda di aiuto, da agricoltori di età non superiore a 40 anni che si sono insediati da meno di 5 anni - conformemente alle prescrizioni di cui alla sottomisura 6.1 del presente periodo di programmazione o alla misura 112 del periodo di programmazione 2007-2013 - così come definiti all'articolo 2§1(n) del Reg. (UE) n° 1305/2013</t>
  </si>
  <si>
    <t>domanda iniziale</t>
  </si>
  <si>
    <t>domanda di variante</t>
  </si>
  <si>
    <t>FINALITA' :</t>
  </si>
  <si>
    <t xml:space="preserve">LOCALIZZAZIONE TRASFORMAZIONE E COMMERCIALIZZAZIONE: </t>
  </si>
  <si>
    <t>…. indicare in che parte dell'azienda vengono svolte le attività e se in coerenza coi requisiti del bando</t>
  </si>
  <si>
    <t>ACCORDI DI FILIERA:</t>
  </si>
  <si>
    <t>… evidenziare la sussistenza di tali accordi fornendo specifici riferimenti</t>
  </si>
  <si>
    <t xml:space="preserve">… specificare l'articolazione degli interventi previsti e come questi si integrino tra di loro </t>
  </si>
  <si>
    <t>… specificare quali siano gli interventi previsti e come questi siano giustificati in base alle previsioni del bando della misura 4.1, anche tenuto conto della qualità tecnica dell'intervento e dell'approvvigionamento di materie prime</t>
  </si>
  <si>
    <t>… specificare quali siano gli interventi previsti e come questi siano giustificati in base alle previsioni del bando della misura 4.1, anche tenuto conto della qualità dell'acqua in termini quantitativi del bacino idrico nel quale l'impianto ricade</t>
  </si>
  <si>
    <t xml:space="preserve">SPECIFICA RELATIVA ALLE SPESE TECNICHE: </t>
  </si>
  <si>
    <t>… specificare l'articolazione delle spese tecniche, ovvero quali % si applicano ai diversi interventi/sottointerventi e per quali motivi; nel caso si applichino le maggiorazioni per interventi in area Natura 2000 evidenziare quali interventi onerosi sono necessari per conformarsi a quanto previsto dalle misure di conservazione e alla normativa in materia</t>
  </si>
  <si>
    <t>10.   QUANTIFICAZIONE DEL CONTRIBUTO TOTALE RICHIESTO</t>
  </si>
  <si>
    <t>PREVENTIVI</t>
  </si>
  <si>
    <t>NB: nel caso la procedura restituisca un esito negativo devono essere modificati i dati inseriti o allegati i documenti previsti ALTRIMENTI LA DOMANDA DIVENTE INAMMISSIBILE</t>
  </si>
  <si>
    <t>zone con vincoli naturali</t>
  </si>
  <si>
    <t>spese tecniche richieste</t>
  </si>
  <si>
    <t xml:space="preserve">contributo </t>
  </si>
  <si>
    <t>costo richiesto</t>
  </si>
  <si>
    <t>valore POST investimento</t>
  </si>
  <si>
    <r>
      <t xml:space="preserve">SITUAZIONE FINALE                       </t>
    </r>
    <r>
      <rPr>
        <b/>
        <i/>
        <sz val="18"/>
        <color indexed="9"/>
        <rFont val="Arial"/>
        <family val="2"/>
      </rPr>
      <t>(impegni da progetto)</t>
    </r>
  </si>
  <si>
    <r>
      <t xml:space="preserve">SITUAZIONE </t>
    </r>
    <r>
      <rPr>
        <b/>
        <i/>
        <sz val="24"/>
        <color indexed="9"/>
        <rFont val="Arial"/>
        <family val="2"/>
      </rPr>
      <t>INIZIALE</t>
    </r>
    <r>
      <rPr>
        <b/>
        <i/>
        <sz val="24"/>
        <color indexed="9"/>
        <rFont val="Arial"/>
        <family val="2"/>
      </rPr>
      <t xml:space="preserve">                                                                                             </t>
    </r>
    <r>
      <rPr>
        <b/>
        <i/>
        <sz val="18"/>
        <color indexed="9"/>
        <rFont val="Arial"/>
        <family val="2"/>
      </rPr>
      <t>(da fascicolo aziendale)</t>
    </r>
  </si>
  <si>
    <t>Valore (€) nota c)</t>
  </si>
  <si>
    <t>Ruolo:</t>
  </si>
  <si>
    <t>… indicare in questa sezione lezone soggette a vincoli naturali o altri vincoli specifici di cui all’art. 32 del regolamento (UE) n. 1305/2013 dove si effettuano gli investimenti, specifcando nel caso tra i diversi investimenti</t>
  </si>
  <si>
    <t>Le maggiorazioni di contributo sono applicate per i seguenti requisiti:</t>
  </si>
  <si>
    <t>Punteggio proposto</t>
  </si>
  <si>
    <t>x</t>
  </si>
  <si>
    <t>PS Inea</t>
  </si>
  <si>
    <t>PS INEA</t>
  </si>
  <si>
    <t>TOTALE PS POST</t>
  </si>
  <si>
    <t>incremento PS</t>
  </si>
  <si>
    <t>TOTALE PS</t>
  </si>
  <si>
    <t>interv trasf e vendita</t>
  </si>
  <si>
    <t>campi dove inserire i dati richiesti, pertanto compilabili liberamente; ATTENZIONE: alcuni campi obbligatori non compilati bloccano la prosecuzione dell'inserimento</t>
  </si>
  <si>
    <t>campi nei quali è presente una formula automatica che determina il risultato, non modificabile</t>
  </si>
  <si>
    <t>TOT SUPERFICIE SAU/num POST</t>
  </si>
  <si>
    <t>TOT SUPERFICIE SAU/num ANTE</t>
  </si>
  <si>
    <r>
      <t xml:space="preserve">Riportare in tabella anche gli immobili nei quali è previsto che avvengano le </t>
    </r>
    <r>
      <rPr>
        <b/>
        <u/>
        <sz val="14"/>
        <rFont val="Arial"/>
        <family val="2"/>
      </rPr>
      <t>operazioni di trasformazione e commercializzazione</t>
    </r>
    <r>
      <rPr>
        <b/>
        <sz val="14"/>
        <rFont val="Arial"/>
        <family val="2"/>
      </rPr>
      <t xml:space="preserve"> che si intendono finanziare per valutare dove tali operazioni avvengano in ambito aziendale.</t>
    </r>
  </si>
  <si>
    <r>
      <t xml:space="preserve">L’attività di </t>
    </r>
    <r>
      <rPr>
        <b/>
        <u/>
        <sz val="14"/>
        <color indexed="10"/>
        <rFont val="Arial"/>
        <family val="2"/>
      </rPr>
      <t>trasformazione e/o commercializzazione</t>
    </r>
    <r>
      <rPr>
        <b/>
        <sz val="14"/>
        <rFont val="Arial"/>
        <family val="2"/>
      </rPr>
      <t xml:space="preserve"> che si intende finanziare deve avvenire</t>
    </r>
    <r>
      <rPr>
        <b/>
        <sz val="14"/>
        <color indexed="10"/>
        <rFont val="Arial"/>
        <family val="2"/>
      </rPr>
      <t xml:space="preserve"> </t>
    </r>
    <r>
      <rPr>
        <b/>
        <u/>
        <sz val="14"/>
        <color indexed="10"/>
        <rFont val="Arial"/>
        <family val="2"/>
      </rPr>
      <t>all’interno dell’azienda agricola</t>
    </r>
    <r>
      <rPr>
        <b/>
        <sz val="14"/>
        <rFont val="Arial"/>
        <family val="2"/>
      </rPr>
      <t xml:space="preserve"> (con l’esclusione esplicita, tra l’altro, di punti vendita esterni al perimetro aziendale, situati in centri urbani e in zone a destinazione urbanistica commerciale).</t>
    </r>
  </si>
  <si>
    <r>
      <t xml:space="preserve">Per il </t>
    </r>
    <r>
      <rPr>
        <b/>
        <u/>
        <sz val="14"/>
        <color indexed="10"/>
        <rFont val="Arial"/>
        <family val="2"/>
      </rPr>
      <t>settore vitivinicolo</t>
    </r>
    <r>
      <rPr>
        <b/>
        <sz val="14"/>
        <rFont val="Arial"/>
        <family val="2"/>
      </rPr>
      <t xml:space="preserve"> sono ammissibili esclusivamente investimenti connessi alla produzione e trasformazione di prodotti a Denominazione di Origine e Indicazione Geografica (specificare nell'ultima colonna e nella relazione allegata).</t>
    </r>
  </si>
  <si>
    <r>
      <t>Per il</t>
    </r>
    <r>
      <rPr>
        <b/>
        <sz val="14"/>
        <color indexed="10"/>
        <rFont val="Arial"/>
        <family val="2"/>
      </rPr>
      <t xml:space="preserve"> </t>
    </r>
    <r>
      <rPr>
        <b/>
        <u/>
        <sz val="14"/>
        <color indexed="10"/>
        <rFont val="Arial"/>
        <family val="2"/>
      </rPr>
      <t>settore zootecnico</t>
    </r>
    <r>
      <rPr>
        <b/>
        <sz val="14"/>
        <color indexed="10"/>
        <rFont val="Arial"/>
        <family val="2"/>
      </rPr>
      <t xml:space="preserve"> </t>
    </r>
    <r>
      <rPr>
        <b/>
        <sz val="14"/>
        <rFont val="Arial"/>
        <family val="2"/>
      </rPr>
      <t>gli investimenti connessi alla produzione del latte sono ammissibili esclusivamente se connessi alla vendita diretta (da produttore a consumatore finale) del latte, alla trasformazione del latte in azienda o al conferimento in mercati locali attraverso accordi di filiera (specificare nell'ultima colonna e nella relazione allegata).</t>
    </r>
  </si>
  <si>
    <t>in alternativa l'azienda propone di dimostrare la sostenibilità finanziaria ed economica dell'investimento attraverso la presentazione di documentazione reale e verificabile (Dichiarazione IVA, Bilanci aziendali, Bilancio con modello ISMEA, etc) e relativo bilancio di maggior dettaglio in allegato al PAS.</t>
  </si>
  <si>
    <t xml:space="preserve">   INTERVENTI E VARIAZIONI SU FABBRICATI E MEZZI DI PRODUZIONE</t>
  </si>
  <si>
    <t>Macchine ed attrezzature (solo quelli già presenti in azienda se simili o comparabili a quelli oggetto di acquisto, per verificare la sostituzione)</t>
  </si>
  <si>
    <r>
      <t xml:space="preserve">Importo dell'investimento previsto (comprese relative spese tecniche)               </t>
    </r>
    <r>
      <rPr>
        <b/>
        <i/>
        <u/>
        <sz val="14"/>
        <rFont val="Arial"/>
        <family val="2"/>
      </rPr>
      <t>al netto del sostegno richiesto</t>
    </r>
  </si>
  <si>
    <t>VALUTAZIONE DELLE PRESTAZIONI E SOSTENIBILITA' GLOBALE DELL'AZIENDA - CRITERI DI AMMISSIBILITA'</t>
  </si>
  <si>
    <t>risultato PS aziendale POST:</t>
  </si>
  <si>
    <r>
      <t xml:space="preserve">SITUAZIONE FINALE                                                                                                                             </t>
    </r>
    <r>
      <rPr>
        <b/>
        <sz val="12"/>
        <color indexed="9"/>
        <rFont val="Arial"/>
        <family val="2"/>
      </rPr>
      <t xml:space="preserve"> organizzazione aziendale (colture e allevamenti) dopo la realizzazione del progetto </t>
    </r>
  </si>
  <si>
    <t>a</t>
  </si>
  <si>
    <t>Devono essere inseriti i prati degradati presenti nel Fascicolo Aziendale per i quali l'abbandono colturale è documentato nella relazione (foto aeree, visure, etc.)</t>
  </si>
  <si>
    <t>di non essere</t>
  </si>
  <si>
    <t>sup Ha</t>
  </si>
  <si>
    <t>animali n</t>
  </si>
  <si>
    <t>c</t>
  </si>
  <si>
    <t>introduzione</t>
  </si>
  <si>
    <t>pr</t>
  </si>
  <si>
    <t>popol</t>
  </si>
  <si>
    <t>kmq</t>
  </si>
  <si>
    <t>Arenzano</t>
  </si>
  <si>
    <t>Genova</t>
  </si>
  <si>
    <t>11 584</t>
  </si>
  <si>
    <t>Avegno</t>
  </si>
  <si>
    <t>Bargagli</t>
  </si>
  <si>
    <t>Bogliasco</t>
  </si>
  <si>
    <t>Borzonasca</t>
  </si>
  <si>
    <t>2 124</t>
  </si>
  <si>
    <t>Busalla</t>
  </si>
  <si>
    <t>5 741</t>
  </si>
  <si>
    <t>Camogli</t>
  </si>
  <si>
    <t>5 481</t>
  </si>
  <si>
    <t>Campo Ligure</t>
  </si>
  <si>
    <t>3 045</t>
  </si>
  <si>
    <t>Campomorone</t>
  </si>
  <si>
    <t>7 306</t>
  </si>
  <si>
    <t>Carasco</t>
  </si>
  <si>
    <t>3 649</t>
  </si>
  <si>
    <t>Casarza Ligure</t>
  </si>
  <si>
    <t>6 708</t>
  </si>
  <si>
    <t>Casella</t>
  </si>
  <si>
    <t>3 232</t>
  </si>
  <si>
    <t>Castiglione Chiavarese</t>
  </si>
  <si>
    <t>1 642</t>
  </si>
  <si>
    <t>Ceranesi</t>
  </si>
  <si>
    <t>4 006</t>
  </si>
  <si>
    <t>Chiavari</t>
  </si>
  <si>
    <t>27 338</t>
  </si>
  <si>
    <t>Cicagna</t>
  </si>
  <si>
    <t>2 566</t>
  </si>
  <si>
    <t>Cogoleto</t>
  </si>
  <si>
    <t>9 145</t>
  </si>
  <si>
    <t>Cogorno</t>
  </si>
  <si>
    <t>5 641</t>
  </si>
  <si>
    <t>Coreglia Ligure</t>
  </si>
  <si>
    <t>Crocefieschi</t>
  </si>
  <si>
    <t>Davagna</t>
  </si>
  <si>
    <t>1 927</t>
  </si>
  <si>
    <t>Fascia</t>
  </si>
  <si>
    <t>Favale di Malvaro</t>
  </si>
  <si>
    <t>Fontanigorda</t>
  </si>
  <si>
    <t>586 180</t>
  </si>
  <si>
    <t>Gorreto</t>
  </si>
  <si>
    <t>Isola del Cantone</t>
  </si>
  <si>
    <t>1 535</t>
  </si>
  <si>
    <t>Lavagna</t>
  </si>
  <si>
    <t>12 579</t>
  </si>
  <si>
    <t>Leivi</t>
  </si>
  <si>
    <t>2 349</t>
  </si>
  <si>
    <t>Lorsica</t>
  </si>
  <si>
    <t>Lumarzo</t>
  </si>
  <si>
    <t>1 594</t>
  </si>
  <si>
    <t>Masone</t>
  </si>
  <si>
    <t>3 758</t>
  </si>
  <si>
    <t>Mele</t>
  </si>
  <si>
    <t>2 687</t>
  </si>
  <si>
    <t>Mezzanego</t>
  </si>
  <si>
    <t>1 624</t>
  </si>
  <si>
    <t>Mignanego</t>
  </si>
  <si>
    <t>3 756</t>
  </si>
  <si>
    <t>Moconesi</t>
  </si>
  <si>
    <t>2 695</t>
  </si>
  <si>
    <t>Moneglia</t>
  </si>
  <si>
    <t>2 890</t>
  </si>
  <si>
    <t>Montebruno</t>
  </si>
  <si>
    <t>Montoggio</t>
  </si>
  <si>
    <t>2 062</t>
  </si>
  <si>
    <t>Ne</t>
  </si>
  <si>
    <t>2 361</t>
  </si>
  <si>
    <t>Neirone</t>
  </si>
  <si>
    <t>Orero</t>
  </si>
  <si>
    <t>Pieve Ligure</t>
  </si>
  <si>
    <t>2 582</t>
  </si>
  <si>
    <t>Portofino</t>
  </si>
  <si>
    <t>Propata</t>
  </si>
  <si>
    <t>Rapallo</t>
  </si>
  <si>
    <t>29 226</t>
  </si>
  <si>
    <t>Recco</t>
  </si>
  <si>
    <t>10 106</t>
  </si>
  <si>
    <t>Rezzoaglio</t>
  </si>
  <si>
    <t>1 080</t>
  </si>
  <si>
    <t>Ronco Scrivia</t>
  </si>
  <si>
    <t>4 558</t>
  </si>
  <si>
    <t>Rondanina</t>
  </si>
  <si>
    <t>Rossiglione</t>
  </si>
  <si>
    <t>2 932</t>
  </si>
  <si>
    <t>Rovegno</t>
  </si>
  <si>
    <t>San Colombano Certenoli</t>
  </si>
  <si>
    <t>Santa Margherita Ligure</t>
  </si>
  <si>
    <t>9 709</t>
  </si>
  <si>
    <t>Santo Stefano d'Aveto</t>
  </si>
  <si>
    <t>1 217</t>
  </si>
  <si>
    <t>Sant'Olcese</t>
  </si>
  <si>
    <t>5 911</t>
  </si>
  <si>
    <t>Savignone</t>
  </si>
  <si>
    <t>3 226</t>
  </si>
  <si>
    <t>Serra Riccò</t>
  </si>
  <si>
    <t>7 931</t>
  </si>
  <si>
    <t>Sestri Levante</t>
  </si>
  <si>
    <t>18 172</t>
  </si>
  <si>
    <t>Sori</t>
  </si>
  <si>
    <t>4 404</t>
  </si>
  <si>
    <t>Tiglieto</t>
  </si>
  <si>
    <t>Torriglia</t>
  </si>
  <si>
    <t>2 392</t>
  </si>
  <si>
    <t>Tribogna</t>
  </si>
  <si>
    <t>Uscio</t>
  </si>
  <si>
    <t>2 275</t>
  </si>
  <si>
    <t>Valbrevenna</t>
  </si>
  <si>
    <t>Vobbia</t>
  </si>
  <si>
    <t>Zoagli</t>
  </si>
  <si>
    <t>2 516</t>
  </si>
  <si>
    <t>Airole</t>
  </si>
  <si>
    <t>Imperia</t>
  </si>
  <si>
    <t>Apricale</t>
  </si>
  <si>
    <t>Aquila d'Arroscia</t>
  </si>
  <si>
    <t>Armo</t>
  </si>
  <si>
    <t>Aurigo</t>
  </si>
  <si>
    <t>Badalucco</t>
  </si>
  <si>
    <t>1 190</t>
  </si>
  <si>
    <t>Bajardo</t>
  </si>
  <si>
    <t>Bordighera</t>
  </si>
  <si>
    <t>10 416</t>
  </si>
  <si>
    <t>Borghetto d'Arroscia</t>
  </si>
  <si>
    <t>Borgomaro</t>
  </si>
  <si>
    <t>Camporosso</t>
  </si>
  <si>
    <t>5 419</t>
  </si>
  <si>
    <t>Caravonica</t>
  </si>
  <si>
    <t>Castel Vittorio</t>
  </si>
  <si>
    <t>Castellaro</t>
  </si>
  <si>
    <t>1 233</t>
  </si>
  <si>
    <t>Ceriana</t>
  </si>
  <si>
    <t>1 253</t>
  </si>
  <si>
    <t>Cervo</t>
  </si>
  <si>
    <t>1 128</t>
  </si>
  <si>
    <t>Cesio</t>
  </si>
  <si>
    <t>Chiusanico</t>
  </si>
  <si>
    <t>Chiusavecchia</t>
  </si>
  <si>
    <t>Cipressa</t>
  </si>
  <si>
    <t>1 271</t>
  </si>
  <si>
    <t>Civezza</t>
  </si>
  <si>
    <t>Cosio di Arroscia</t>
  </si>
  <si>
    <t>Costarainera</t>
  </si>
  <si>
    <t>Diano Arentino</t>
  </si>
  <si>
    <t>Diano Castello</t>
  </si>
  <si>
    <t>2 257</t>
  </si>
  <si>
    <t>Diano Marina</t>
  </si>
  <si>
    <t>6 004</t>
  </si>
  <si>
    <t>Diano San Pietro</t>
  </si>
  <si>
    <t>1 101</t>
  </si>
  <si>
    <t>Dolceacqua</t>
  </si>
  <si>
    <t>1 990</t>
  </si>
  <si>
    <t>Dolcedo</t>
  </si>
  <si>
    <t>1 451</t>
  </si>
  <si>
    <t>42 322</t>
  </si>
  <si>
    <t>Isolabona</t>
  </si>
  <si>
    <t>Lucinasco</t>
  </si>
  <si>
    <t>Mendatica</t>
  </si>
  <si>
    <t>Molini di Triora</t>
  </si>
  <si>
    <t>Montalto Carpasio</t>
  </si>
  <si>
    <t>Montegrosso Pian Latte</t>
  </si>
  <si>
    <t>Olivetta San Michele</t>
  </si>
  <si>
    <t>Ospedaletti</t>
  </si>
  <si>
    <t>3 386</t>
  </si>
  <si>
    <t>Perinaldo</t>
  </si>
  <si>
    <t>Pietrabruna</t>
  </si>
  <si>
    <t>Pieve di Teco</t>
  </si>
  <si>
    <t>1 400</t>
  </si>
  <si>
    <t>Pigna</t>
  </si>
  <si>
    <t>Pompeiana</t>
  </si>
  <si>
    <t>Pontedassio</t>
  </si>
  <si>
    <t>2 356</t>
  </si>
  <si>
    <t>Pornassio</t>
  </si>
  <si>
    <t>Prelà</t>
  </si>
  <si>
    <t>Ranzo</t>
  </si>
  <si>
    <t>Rezzo</t>
  </si>
  <si>
    <t>Riva Ligure</t>
  </si>
  <si>
    <t>2 861</t>
  </si>
  <si>
    <t>Rocchetta Nervina</t>
  </si>
  <si>
    <t>San Bartolomeo al Mare</t>
  </si>
  <si>
    <t>3 127</t>
  </si>
  <si>
    <t>San Biagio della Cima</t>
  </si>
  <si>
    <t>1 278</t>
  </si>
  <si>
    <t>San Lorenzo al Mare</t>
  </si>
  <si>
    <t>1 373</t>
  </si>
  <si>
    <t>Sanremo</t>
  </si>
  <si>
    <t>54 137</t>
  </si>
  <si>
    <t>Santo Stefano al Mare</t>
  </si>
  <si>
    <t>2 239</t>
  </si>
  <si>
    <t>Seborga</t>
  </si>
  <si>
    <t>Soldano</t>
  </si>
  <si>
    <t>Taggia</t>
  </si>
  <si>
    <t>14 032</t>
  </si>
  <si>
    <t>Terzorio</t>
  </si>
  <si>
    <t>Triora</t>
  </si>
  <si>
    <t>Vallebona</t>
  </si>
  <si>
    <t>1 332</t>
  </si>
  <si>
    <t>Vallecrosia</t>
  </si>
  <si>
    <t>7 032</t>
  </si>
  <si>
    <t>Vasia</t>
  </si>
  <si>
    <t>Ventimiglia</t>
  </si>
  <si>
    <t>23 926</t>
  </si>
  <si>
    <t>Vessalico</t>
  </si>
  <si>
    <t>Villa Faraldi</t>
  </si>
  <si>
    <t>Ameglia</t>
  </si>
  <si>
    <t>La Spezia</t>
  </si>
  <si>
    <t>4 484</t>
  </si>
  <si>
    <t>Arcola</t>
  </si>
  <si>
    <t>10 316</t>
  </si>
  <si>
    <t>Beverino</t>
  </si>
  <si>
    <t>2 403</t>
  </si>
  <si>
    <t>Bolano</t>
  </si>
  <si>
    <t>7 759</t>
  </si>
  <si>
    <t>Bonassola</t>
  </si>
  <si>
    <t>Borghetto di Vara</t>
  </si>
  <si>
    <t>1 008</t>
  </si>
  <si>
    <t>Brugnato</t>
  </si>
  <si>
    <t>1 266</t>
  </si>
  <si>
    <t>Calice al Cornoviglio</t>
  </si>
  <si>
    <t>1 146</t>
  </si>
  <si>
    <t>Carro</t>
  </si>
  <si>
    <t>Carrodano</t>
  </si>
  <si>
    <t>Castelnuovo Magra</t>
  </si>
  <si>
    <t>8 269</t>
  </si>
  <si>
    <t>Deiva Marina</t>
  </si>
  <si>
    <t>1 438</t>
  </si>
  <si>
    <t>Follo</t>
  </si>
  <si>
    <t>6 337</t>
  </si>
  <si>
    <t>Framura</t>
  </si>
  <si>
    <t>92 659</t>
  </si>
  <si>
    <t>Lerici</t>
  </si>
  <si>
    <t>10 090</t>
  </si>
  <si>
    <t>Levanto</t>
  </si>
  <si>
    <t>5 509</t>
  </si>
  <si>
    <t>Luni</t>
  </si>
  <si>
    <t>8 405</t>
  </si>
  <si>
    <t>Maissana</t>
  </si>
  <si>
    <t>Monterosso al Mare</t>
  </si>
  <si>
    <t>1 481</t>
  </si>
  <si>
    <t>Pignone</t>
  </si>
  <si>
    <t>Porto Venere</t>
  </si>
  <si>
    <t>3 702</t>
  </si>
  <si>
    <t>Riccò del Golfo di Spezia</t>
  </si>
  <si>
    <t>3 537</t>
  </si>
  <si>
    <t>Riomaggiore</t>
  </si>
  <si>
    <t>1 669</t>
  </si>
  <si>
    <t>Rocchetta di Vara</t>
  </si>
  <si>
    <t>Santo Stefano di Magra</t>
  </si>
  <si>
    <t>8 790</t>
  </si>
  <si>
    <t>Sarzana</t>
  </si>
  <si>
    <t>21 829</t>
  </si>
  <si>
    <t>Sesta Godano</t>
  </si>
  <si>
    <t>1 452</t>
  </si>
  <si>
    <t>Varese Ligure</t>
  </si>
  <si>
    <t>2 103</t>
  </si>
  <si>
    <t>Vernazza</t>
  </si>
  <si>
    <t>Vezzano Ligure</t>
  </si>
  <si>
    <t>7 391</t>
  </si>
  <si>
    <t>Zignago</t>
  </si>
  <si>
    <t>Alassio</t>
  </si>
  <si>
    <t>Savona</t>
  </si>
  <si>
    <t>11 026</t>
  </si>
  <si>
    <t>Albenga</t>
  </si>
  <si>
    <t>23 576</t>
  </si>
  <si>
    <t>Albisola Superiore</t>
  </si>
  <si>
    <t>10 407</t>
  </si>
  <si>
    <t>Albissola Marina</t>
  </si>
  <si>
    <t>5 564</t>
  </si>
  <si>
    <t>Altare</t>
  </si>
  <si>
    <t>2 127</t>
  </si>
  <si>
    <t>Andora</t>
  </si>
  <si>
    <t>7 470</t>
  </si>
  <si>
    <t>Arnasco</t>
  </si>
  <si>
    <t>Balestrino</t>
  </si>
  <si>
    <t>Bardineto</t>
  </si>
  <si>
    <t>Bergeggi</t>
  </si>
  <si>
    <t>1 126</t>
  </si>
  <si>
    <t>Boissano</t>
  </si>
  <si>
    <t>2 437</t>
  </si>
  <si>
    <t>Borghetto Santo Spirito</t>
  </si>
  <si>
    <t>5 154</t>
  </si>
  <si>
    <t>Borgio Verezzi</t>
  </si>
  <si>
    <t>2 327</t>
  </si>
  <si>
    <t>Bormida</t>
  </si>
  <si>
    <t>Cairo Montenotte</t>
  </si>
  <si>
    <t>13 237</t>
  </si>
  <si>
    <t>Calice Ligure</t>
  </si>
  <si>
    <t>1 683</t>
  </si>
  <si>
    <t>Calizzano</t>
  </si>
  <si>
    <t>1 550</t>
  </si>
  <si>
    <t>Carcare</t>
  </si>
  <si>
    <t>5 605</t>
  </si>
  <si>
    <t>Casanova Lerrone</t>
  </si>
  <si>
    <t>Castelbianco</t>
  </si>
  <si>
    <t>Castelvecchio di Rocca Barbena</t>
  </si>
  <si>
    <t>Celle Ligure</t>
  </si>
  <si>
    <t>5 353</t>
  </si>
  <si>
    <t>Cengio</t>
  </si>
  <si>
    <t>3 678</t>
  </si>
  <si>
    <t>Ceriale</t>
  </si>
  <si>
    <t>5 815</t>
  </si>
  <si>
    <t>Cisano sul Neva</t>
  </si>
  <si>
    <t>1 964</t>
  </si>
  <si>
    <t>Cosseria</t>
  </si>
  <si>
    <t>Dego</t>
  </si>
  <si>
    <t>2 003</t>
  </si>
  <si>
    <t>Erli</t>
  </si>
  <si>
    <t>Finale Ligure</t>
  </si>
  <si>
    <t>11 724</t>
  </si>
  <si>
    <t>Garlenda</t>
  </si>
  <si>
    <t>1 214</t>
  </si>
  <si>
    <t>Giustenice</t>
  </si>
  <si>
    <t>Giusvalla</t>
  </si>
  <si>
    <t>Laigueglia</t>
  </si>
  <si>
    <t>1 800</t>
  </si>
  <si>
    <t>Loano</t>
  </si>
  <si>
    <t>11 563</t>
  </si>
  <si>
    <t>Magliolo</t>
  </si>
  <si>
    <t>Mallare</t>
  </si>
  <si>
    <t>1 200</t>
  </si>
  <si>
    <t>Massimino</t>
  </si>
  <si>
    <t>Millesimo</t>
  </si>
  <si>
    <t>3 426</t>
  </si>
  <si>
    <t>Mioglia</t>
  </si>
  <si>
    <t>Murialdo</t>
  </si>
  <si>
    <t>Nasino</t>
  </si>
  <si>
    <t>Noli</t>
  </si>
  <si>
    <t>2 801</t>
  </si>
  <si>
    <t>Onzo</t>
  </si>
  <si>
    <t>Orco Feglino</t>
  </si>
  <si>
    <t>Ortovero</t>
  </si>
  <si>
    <t>1 583</t>
  </si>
  <si>
    <t>Osiglia</t>
  </si>
  <si>
    <t>Pallare</t>
  </si>
  <si>
    <t>Piana Crixia</t>
  </si>
  <si>
    <t>Pietra Ligure</t>
  </si>
  <si>
    <t>8 880</t>
  </si>
  <si>
    <t>Plodio</t>
  </si>
  <si>
    <t>Pontinvrea</t>
  </si>
  <si>
    <t>Quiliano</t>
  </si>
  <si>
    <t>7 336</t>
  </si>
  <si>
    <t>Rialto</t>
  </si>
  <si>
    <t>Roccavignale</t>
  </si>
  <si>
    <t>Sassello</t>
  </si>
  <si>
    <t>1 882</t>
  </si>
  <si>
    <t>60 661</t>
  </si>
  <si>
    <t>Spotorno</t>
  </si>
  <si>
    <t>3 886</t>
  </si>
  <si>
    <t>Stella</t>
  </si>
  <si>
    <t>3 066</t>
  </si>
  <si>
    <t>Stellanello</t>
  </si>
  <si>
    <t>Testico</t>
  </si>
  <si>
    <t>Toirano</t>
  </si>
  <si>
    <t>2 669</t>
  </si>
  <si>
    <t>Tovo San Giacomo</t>
  </si>
  <si>
    <t>2 489</t>
  </si>
  <si>
    <t>Urbe</t>
  </si>
  <si>
    <t>Vado Ligure</t>
  </si>
  <si>
    <t>8 232</t>
  </si>
  <si>
    <t>Varazze</t>
  </si>
  <si>
    <t>13 461</t>
  </si>
  <si>
    <t>Vendone</t>
  </si>
  <si>
    <t>Vezzi Portio</t>
  </si>
  <si>
    <t>Villanova d'Albenga</t>
  </si>
  <si>
    <t>2 522</t>
  </si>
  <si>
    <t>Zuccarello</t>
  </si>
  <si>
    <t xml:space="preserve">Sostenibilità finanziaria ed economica degli investimenti </t>
  </si>
  <si>
    <t>1.4</t>
  </si>
  <si>
    <t>Sede legale</t>
  </si>
  <si>
    <t>1.5    Telefono:</t>
  </si>
  <si>
    <t>via / loc</t>
  </si>
  <si>
    <t>sede oper</t>
  </si>
  <si>
    <t>scegli il comune</t>
  </si>
  <si>
    <t>La presenta relazione tecnica viene sottoscritta dal richiedente/rappresentante legale e la stessa è in tutto e per tutto aderente al vero e conforme alle tabelle del PAS ed ai dati riportati sul Fascicolo Aziendale</t>
  </si>
  <si>
    <t>Prati avvicendati (medica, sulla, trifoglio, lupinella, ecc.) A</t>
  </si>
  <si>
    <t>Prati avvicendati (medica, sulla, trifoglio, lupinella, ecc.) B</t>
  </si>
  <si>
    <t>indicare la natura giuridica del soggetto</t>
  </si>
  <si>
    <t>L'azienda intende effettuare parte delle lavorazioni con prestazione di lavoro volontario non retribuito, come evidenziato nella relazione allegata</t>
  </si>
  <si>
    <t>Il beneficiario DICHIARA che tutti i soggetti sopra indicati hanno posizione previdenziale attiva presso le sezioni agricole INPS</t>
  </si>
  <si>
    <r>
      <rPr>
        <b/>
        <sz val="18"/>
        <rFont val="Arial"/>
        <family val="2"/>
      </rPr>
      <t>PROGRAMMA REGIONALE DI SVILUPPO RURALE 2014 - 2022</t>
    </r>
    <r>
      <rPr>
        <b/>
        <sz val="28"/>
        <rFont val="Arial"/>
        <family val="2"/>
      </rPr>
      <t xml:space="preserve"> </t>
    </r>
  </si>
  <si>
    <r>
      <t xml:space="preserve">Fabbricati (solo quelli </t>
    </r>
    <r>
      <rPr>
        <b/>
        <u/>
        <sz val="18"/>
        <rFont val="Arial"/>
        <family val="2"/>
      </rPr>
      <t>oggetto o sede</t>
    </r>
    <r>
      <rPr>
        <b/>
        <sz val="18"/>
        <rFont val="Arial"/>
        <family val="2"/>
      </rPr>
      <t xml:space="preserve"> di interventi o comunque interessati da modifiche d'uso e destinazione)</t>
    </r>
  </si>
  <si>
    <t>Il valore dell'immobile è da inserire esclusivamente nei casi nei quali sia richiesto dal bando: se intervento di sostituzione (recupero completo), se rilocalizzazione degli stabilimenti di produzione</t>
  </si>
  <si>
    <t>strutturali</t>
  </si>
  <si>
    <t>contributo</t>
  </si>
  <si>
    <t>netto</t>
  </si>
  <si>
    <t>acquisti</t>
  </si>
  <si>
    <t>stecn</t>
  </si>
  <si>
    <t>La rateizzazione deve avvenire con meccanismo analogo alle righe S1 ed S2 (opere fisse e macchine distinti) e va esplicitata sulla relazione allegata</t>
  </si>
  <si>
    <t>6.1  Fabbricati (solo quelli oggetto o sede di interventi o comunque interessati da modifiche d'uso e destinazione)</t>
  </si>
  <si>
    <t>Rate di reintegrazione da altri investimenti PSR 2014 2022 presentati</t>
  </si>
  <si>
    <t>… specificare le variazioni che si intendono apportare ed in particolare evidenziare che non si tratti di interventi di mera sostituzione ai sensi del bando della sottomisura 4.1.2 (P4) e del cap 8 del PSR, fornire con valutazioni tecniche che l'acquisto sia commisurato alle esigenze aziendali</t>
  </si>
  <si>
    <t>13   NOTE</t>
  </si>
  <si>
    <t>agricoltore di età non superiore a 40 anni insediato da meno di 24 mesi, conformemente alle prescrizioni di cui alla sottomisura 6.1 del presente periodo di programmazione ai sensi e all’art. 2, paragrafo 1, lettera n) del regolamento 1305/2013</t>
  </si>
  <si>
    <t xml:space="preserve">acquisto, costruzione, ristrutturazione di fabbricati, direttamente funzionali alla produzione agricola, alla trasformazione e vendita dei prodotti aziendali (attività complementari) </t>
  </si>
  <si>
    <t>impianto di colture poliennali finalizzato al miglioramento fondiario quali frutteti, oliveti, vigneti o colture arboree o arbustive con un ciclo colturale di almeno cinque anni</t>
  </si>
  <si>
    <t>sistemazione agraria dei terreni agricoli per assicurare la regimazione delle acque, la stabilità dei versanti e la percorribilità da parte delle macchine, compresa la viabilità interna aziendale</t>
  </si>
  <si>
    <t>acquisto di macchinari e impianti per la protezione dell’ambiente dai sottoprodotti dei cicli produttivi aziendali quali: reflui, rifiuti, emissioni</t>
  </si>
  <si>
    <t xml:space="preserve">acquisto di macchine e di attrezzature (compresi elaboratori elettronici) impiegate nella produzione agricola, zootecnica o nelle attività complementari </t>
  </si>
  <si>
    <t>recinzioni di terreni destinati a colture agricole di elevato pregio (come previsto dalla D.G.R. 1115/2016 e ss.mm.ii.) o di terreni agricoli adibiti al pascolo</t>
  </si>
  <si>
    <t>investimenti immateriali connessi agli investimenti di cui ai punti precedenti quali: acquisto di software, creazione di siti internet e/o ampliamento delle loro funzionalità, acquisto di brevetti e licenze</t>
  </si>
  <si>
    <t xml:space="preserve">realizzazione di impianti idrici e irrigui, termici, elettrici a servizio delle colture e degli allevamenti o delle attività complementari aziendali </t>
  </si>
  <si>
    <t>invest PEI</t>
  </si>
  <si>
    <t>art 28 e 29 1305/13</t>
  </si>
  <si>
    <t>progetti integrati</t>
  </si>
  <si>
    <t>ristrutturazione di oliveti, castagneti e noccioleti , attraverso la riduzione del numero delle piante, l’abbassamento della chioma, l’eventuale ricorso a innesti o altre tecniche colturali non ordinarie, per ridurre i costi di produzione e favorire la meccanizzazione</t>
  </si>
  <si>
    <t>Criteri di selezione</t>
  </si>
  <si>
    <t>Metodo di calcolo del punteggio</t>
  </si>
  <si>
    <t>5 punti ogni posto di lavoro a tempo pieno (o equivalente full time) creato, compreso il posto di lavoro del titolare.</t>
  </si>
  <si>
    <t>Insediamento in azienda condotta da un imprenditore agricolo che al momento del trasferimento ha un’età superiore a 58 anni</t>
  </si>
  <si>
    <t>età del beneficiario (priorità ai soggetti più giovani)</t>
  </si>
  <si>
    <t>attività aziendale che si sviluppa anche su terreni abbandonati da almeno 5 anni, purché non inquinati.</t>
  </si>
  <si>
    <t>giovane che si insedia in un’azienda con sede in zona D</t>
  </si>
  <si>
    <t>10 punti in presenza del requisito</t>
  </si>
  <si>
    <t>impianto di colture poliennali - investimenti strutturali</t>
  </si>
  <si>
    <t>impianto di colture poliennali - acquisto beni mobili</t>
  </si>
  <si>
    <t>sistemazione agraria dei terreni agricoli -  investimenti strutturali</t>
  </si>
  <si>
    <t>sistemazione agraria dei terreni agricoli  - acquisto macch e attrezz</t>
  </si>
  <si>
    <t xml:space="preserve">acquisto di macchinari e impianti per la protezione dell’ambiente </t>
  </si>
  <si>
    <t>acquisto di terreno</t>
  </si>
  <si>
    <t>investimenti immateriali</t>
  </si>
  <si>
    <t>% di inc sul totale</t>
  </si>
  <si>
    <t>max</t>
  </si>
  <si>
    <t>Giovani agricoltori che si sono insediati da meno di cinque anni = 15 punti</t>
  </si>
  <si>
    <t>Aumento delle dimensioni aziendali, in termini di Produzione Standard e a investimenti ultimati, pari almeno al 10% rispetto alle dimensioni aziendali possedute al momento della domanda di sostegno</t>
  </si>
  <si>
    <t>0,50 punti per ogni punto % di aumento delle dimensioni aziendali, in termini di produzione standard, oltre il 10%, a partire da 2 punti</t>
  </si>
  <si>
    <t>Imprese con una dimensione aziendale, ad investimenti ultimati, compresa tra i 25.000 ed i 100.000 Euro in termini di Produzione Standard</t>
  </si>
  <si>
    <t>Imprese che, a investimenti ultimati, hanno una dimensione economica di PS compresa:
• tra i 25.000 ed i 50.000 Euro = 5 punti;
• tra i 50.001 ed i 100.000 Euro Standard = 3 punti</t>
  </si>
  <si>
    <r>
      <t xml:space="preserve">Investimenti necessari per aderire a regimi di qualità certificata in base a norme europee, nazionali e regionali di cui alla misura 3.1 </t>
    </r>
    <r>
      <rPr>
        <i/>
        <sz val="10"/>
        <color indexed="8"/>
        <rFont val="Arial"/>
        <family val="2"/>
      </rPr>
      <t>(la necessità di tali investimenti deve essere comprovata da dichiarazione dell’organismo certificatore o prevista dalla normativa di settore da allegare al PAS)</t>
    </r>
  </si>
  <si>
    <t>0,5 punti per ogni punto % di incidenza dell’investimento ambientale sul totale dell’operazione</t>
  </si>
  <si>
    <t>0,1 punti per ogni punto % di
incidenza dell’intervento specifico
sul totale dell’operazione.</t>
  </si>
  <si>
    <t>CRITERI SETTORIALI - fino a 2 punti</t>
  </si>
  <si>
    <t>specificare il settore</t>
  </si>
  <si>
    <t>0,2 punti per ogni punto % di incidenza dell’intervento specifico sul totale dell’operazione</t>
  </si>
  <si>
    <t>a) Per il settore floricolo, limitatamente al fiore reciso:
• investimenti di riconversione verso prodotti diversi dal fiore reciso;</t>
  </si>
  <si>
    <t>• investimenti innovativi anche in biotecnologie.</t>
  </si>
  <si>
    <t>b) Per settore vitivinicolo:
• investimenti connessi alla produzione e trasformazione di prodotti a Denominazione di Origine e Indicazione Geografica.</t>
  </si>
  <si>
    <t xml:space="preserve">c) Per il settore zootecnico, limitatamente alla produzione del latte:
• investimenti connessi alla vendita diretta (da produttore a consumatore finale) del latte, alla trasformazione del latte in azienda o al conferimento in mercati locali attraverso accordi di filiera locale </t>
  </si>
  <si>
    <t>CRITERI ORIZZONTALI - fino a 6 punti per il rispetto di almeno uno dei seguenti</t>
  </si>
  <si>
    <t>0,12 punti per ogni punto % di
incidenza dell’intervento specifico
sul totale dell’operazione</t>
  </si>
  <si>
    <t>1. Innovazione di prodotto e/o di processo.</t>
  </si>
  <si>
    <t>2. Incremento del valore aggiunto dei prodotti tramite trasformazione e/o commercializzazione aziendali.</t>
  </si>
  <si>
    <t>3. Tutela della biodiversità animale e vegetale</t>
  </si>
  <si>
    <t>4. Inserimento in progetti di cooperazione relativi a filiera corta e mercati locali.</t>
  </si>
  <si>
    <t>Totale rata reintegrazione MIS 4.1</t>
  </si>
  <si>
    <t>In proporzione a crescere dell’età del cedente:
a - da 58 anni a 65 anni = 3 punti
b - da 66 anni a 70 anni = 6 punti
c - oltre i 70 anni          = 10 punti</t>
  </si>
  <si>
    <t>In proporzione inversa al crescere dell’età al momento della presentazione della domanda di sostegno:
a -	da 18 a 24 anni =    25 punti
b -	da 25 a 28 anni =    20 punti
c -	da 29 a 33 anni =    17 punti
d -	da 34 a 38 anni =    15 punti
e -	39 anni e oltre  =     12 punti</t>
  </si>
  <si>
    <t>% incr PS</t>
  </si>
  <si>
    <t>RISULTA</t>
  </si>
  <si>
    <t>investimenti finalizzati alla produzione di energia elettrica o termica da destinarsi esclusivamente all’utilizzo aziendale, attraverso lo sfruttamento di fonti energetiche rinnovabili (solare, eolico) e/o di biomasse</t>
  </si>
  <si>
    <t>+10% progetti integrati</t>
  </si>
  <si>
    <t>+10% investimenti PEI</t>
  </si>
  <si>
    <t>… indicare in questa sezione il PEI cui aderisce l'azienda per richiedere la maggiorazione di contributo</t>
  </si>
  <si>
    <t>… indicare in questa sezione il progetto integrato cui aderisce l'azienda  per richiedere la maggiorazione di contributo</t>
  </si>
  <si>
    <t>+10% investimenti collegati a operazioni di cui agli art 28 e 29 Reg. Ce n.1305/13</t>
  </si>
  <si>
    <t>… indicare in questa sezione gli investimenti proposti che consentono all'azienda di richiedere la maggiorazione di contributo</t>
  </si>
  <si>
    <t xml:space="preserve">TERRENI ABBANDONATI CHE VERRANNO RECUPERATI </t>
  </si>
  <si>
    <t>Descrizione degli investimenti - Quadro Economico Generale</t>
  </si>
  <si>
    <t>acquisto, costruzione, ristrutturazione di fabbricati  -  inv. strutturali</t>
  </si>
  <si>
    <t>acquisto, costruzione, ristrutturazione di fabbricati  -  acqu. beni mob.</t>
  </si>
  <si>
    <t>ristrutturazione di oliveti, castagneti e noccioleti -  investimenti strutt.</t>
  </si>
  <si>
    <t>ristrutturazione di oliveti, castagneti e noccioleti -  acq. beni mobili</t>
  </si>
  <si>
    <t>realizzazione di impianti idrici e irrigui, termici, elettrici -  inv. strutt.</t>
  </si>
  <si>
    <t>realizzazione di impianti idrici e irrigui, termici, elettrici -  macch.e attrezz</t>
  </si>
  <si>
    <t>acquisto di macchine e di attrezzature per la produzione agricola</t>
  </si>
  <si>
    <t>investim. per produzione di energia elettrica o termica - inv. strutt.</t>
  </si>
  <si>
    <t>invest. per produzione di energia elettrica o termica - acq. b.mob.</t>
  </si>
  <si>
    <t>recinzioni di terreni -  acquisto beni mob.</t>
  </si>
  <si>
    <t>recinzioni di terreni - invest. strutturali</t>
  </si>
  <si>
    <t>costo totale previsto, non frazionabile</t>
  </si>
  <si>
    <t>TOTALE INVESTIMENTI E SPESE TECNICHE PROPOSTI</t>
  </si>
  <si>
    <t>COSTO INVESTIMENTI, COMPRESI INTEVENTI DI COSTO NON FRAZIONABILE</t>
  </si>
  <si>
    <t>COSTO PROGETTUALE PROPOSTO</t>
  </si>
  <si>
    <t>Si forniscono le seguenti indicazioni che meglio specificano quanto indicato nel PAS (seguendo la medesima numerazione) e quanto richiesto dal bando per la presentazione della domanda di sostegno per pacchetto giovani sottomisure 4.1 - 6.1  presentata a nome:</t>
  </si>
  <si>
    <t>5. RECUPERO DI TERRENI ABBANDONATI</t>
  </si>
  <si>
    <t>ATTIVITA' AZIENDALE SU TERRENI ABBANDONATI - Ha</t>
  </si>
  <si>
    <t>PUNTEGGIO COMPLESSIVO</t>
  </si>
  <si>
    <t>INVESTIMENTO COMPLESSIVO</t>
  </si>
  <si>
    <t xml:space="preserve">SPECIFICA PER INTERVENTI DI MIGLIORAMENTO AZIENDALE E INFLUENZA SUI FATTORI AMBIENTALI: </t>
  </si>
  <si>
    <t xml:space="preserve">SPECIFICA PER INTERVENTI SU IMPIANTI IDRICI E IRRIGUI, TERMICI ED ELETTRICI: </t>
  </si>
  <si>
    <t>Altre condizioni da segnalare:</t>
  </si>
  <si>
    <t xml:space="preserve">acquisto di terreno, solo se finalizzato all’aumento delle dimensioni della SAU </t>
  </si>
  <si>
    <t>Domanda di sostegno a valere sulle sottomisure 6.1 “Aiuto all’avvio di imprese agricole per i giovani agricoltori” e 4.1 “Supporto agli investimenti nelle aziende agricole”, "pacchetto giovani"</t>
  </si>
  <si>
    <t>cod.fisc</t>
  </si>
  <si>
    <t>1.3  CUAA</t>
  </si>
  <si>
    <t>indirizzo</t>
  </si>
  <si>
    <t>via</t>
  </si>
  <si>
    <t>cap</t>
  </si>
  <si>
    <t>città</t>
  </si>
  <si>
    <t>età</t>
  </si>
  <si>
    <t>data di primo insediamento</t>
  </si>
  <si>
    <t>riferita a</t>
  </si>
  <si>
    <t>nb: in caso di persona giuridica allegare atto costitutivo/statuto o delibera di nomina o documentazione equipollente per giustificare il controllo sulla società</t>
  </si>
  <si>
    <t>Elenco componenti della società compreso il richiedente</t>
  </si>
  <si>
    <t>nome / cognome / tipologia socio</t>
  </si>
  <si>
    <t>codice fiscale</t>
  </si>
  <si>
    <t>tipologia</t>
  </si>
  <si>
    <t>percentuale contitolarietà</t>
  </si>
  <si>
    <t>zone Natura 2000</t>
  </si>
  <si>
    <t>CUAA CEDENTE</t>
  </si>
  <si>
    <t>- Imprese con terreni situati prevalentemente in aree rurali D = 10 punti   - Imprese con terreni situati parzialmente (meno del 50% della superficie aziendale) in area D = 5 punti</t>
  </si>
  <si>
    <t>Recupero di terreni abbandonati (finalizzati all’aumento della SAU) per almeno il 10% della SAU posseduta a fine investimento, come da dettaglio pag 1 PAS 3</t>
  </si>
  <si>
    <t>CONTRIBUTO PREVISTO PER L'INSEDIAMENTO</t>
  </si>
  <si>
    <t>Premio base</t>
  </si>
  <si>
    <t>GE</t>
  </si>
  <si>
    <t xml:space="preserve">MONTOGGIO </t>
  </si>
  <si>
    <t>SECONDA</t>
  </si>
  <si>
    <t>SV</t>
  </si>
  <si>
    <t xml:space="preserve">ALBENGA </t>
  </si>
  <si>
    <t xml:space="preserve">SECONDA </t>
  </si>
  <si>
    <t>SP</t>
  </si>
  <si>
    <t xml:space="preserve">AMEGLIA </t>
  </si>
  <si>
    <t xml:space="preserve">ANDORA </t>
  </si>
  <si>
    <t xml:space="preserve">BARGAGLI </t>
  </si>
  <si>
    <t xml:space="preserve">BEVERINO </t>
  </si>
  <si>
    <t xml:space="preserve">BONASSOLA </t>
  </si>
  <si>
    <t xml:space="preserve">BORGHETTO SANTO SPIRITO </t>
  </si>
  <si>
    <t xml:space="preserve">BUSALLA </t>
  </si>
  <si>
    <t xml:space="preserve">CALICE LIGURE </t>
  </si>
  <si>
    <t>IM</t>
  </si>
  <si>
    <t xml:space="preserve">CAMPOROSSO </t>
  </si>
  <si>
    <t xml:space="preserve">CARCARE </t>
  </si>
  <si>
    <t xml:space="preserve">CASARZA LIGURE </t>
  </si>
  <si>
    <t xml:space="preserve">CASTELLARO </t>
  </si>
  <si>
    <t xml:space="preserve">CENGIO </t>
  </si>
  <si>
    <t xml:space="preserve">CERIALE </t>
  </si>
  <si>
    <t xml:space="preserve">CERVO </t>
  </si>
  <si>
    <t xml:space="preserve">CICAGNA </t>
  </si>
  <si>
    <t xml:space="preserve">CIVEZZA </t>
  </si>
  <si>
    <t xml:space="preserve">CROCEFIESCHI </t>
  </si>
  <si>
    <t xml:space="preserve">DAVAGNA </t>
  </si>
  <si>
    <t xml:space="preserve">DOLCEACQUA </t>
  </si>
  <si>
    <t xml:space="preserve">DOLCEDO </t>
  </si>
  <si>
    <t xml:space="preserve">FOLLO </t>
  </si>
  <si>
    <t xml:space="preserve">FRAMURA </t>
  </si>
  <si>
    <t xml:space="preserve">GARLENDA </t>
  </si>
  <si>
    <t xml:space="preserve">ISOLA DEL CANTONE </t>
  </si>
  <si>
    <t xml:space="preserve">LAIGUEGLIA </t>
  </si>
  <si>
    <t xml:space="preserve">MASONE </t>
  </si>
  <si>
    <t xml:space="preserve">MILLESIMO </t>
  </si>
  <si>
    <t xml:space="preserve">NE </t>
  </si>
  <si>
    <t xml:space="preserve">ORTONOVO </t>
  </si>
  <si>
    <t xml:space="preserve">ORTOVERO </t>
  </si>
  <si>
    <t xml:space="preserve">POMPEIANA </t>
  </si>
  <si>
    <t xml:space="preserve">PORTOVENERE </t>
  </si>
  <si>
    <t xml:space="preserve">QUILIANO </t>
  </si>
  <si>
    <t xml:space="preserve">RICCO' DEL GOLFO DI SPEZIA </t>
  </si>
  <si>
    <t xml:space="preserve">RIOMAGGIORE </t>
  </si>
  <si>
    <t xml:space="preserve">RIVA LIGURE </t>
  </si>
  <si>
    <t xml:space="preserve">RONCO SCRIVIA </t>
  </si>
  <si>
    <t xml:space="preserve">ROSSIGLIONE </t>
  </si>
  <si>
    <t xml:space="preserve">SAN BARTOLOMEO AL MARE </t>
  </si>
  <si>
    <t xml:space="preserve">SAN BIAGIO DELLA CIMA </t>
  </si>
  <si>
    <t xml:space="preserve">SAVIGNONE </t>
  </si>
  <si>
    <t xml:space="preserve">SOLDANO </t>
  </si>
  <si>
    <t xml:space="preserve">STELLA </t>
  </si>
  <si>
    <t xml:space="preserve">TAGGIA </t>
  </si>
  <si>
    <t xml:space="preserve">TORRIGLIA </t>
  </si>
  <si>
    <t xml:space="preserve">VALLECROSIA </t>
  </si>
  <si>
    <t xml:space="preserve">VASIA </t>
  </si>
  <si>
    <t xml:space="preserve">VENTIMIGLIA </t>
  </si>
  <si>
    <t xml:space="preserve">VEZZI PORTIO </t>
  </si>
  <si>
    <t xml:space="preserve">VILLANOVA D'ALBENGA </t>
  </si>
  <si>
    <t xml:space="preserve">GIUSVALLA </t>
  </si>
  <si>
    <t>TERZA</t>
  </si>
  <si>
    <t xml:space="preserve">ARNASCO </t>
  </si>
  <si>
    <t xml:space="preserve">TERZA </t>
  </si>
  <si>
    <t xml:space="preserve">BADALUCCO </t>
  </si>
  <si>
    <t xml:space="preserve">BORGHETTO DI VARA </t>
  </si>
  <si>
    <t xml:space="preserve">BORGOMARO </t>
  </si>
  <si>
    <t xml:space="preserve">BORZONASCA </t>
  </si>
  <si>
    <t xml:space="preserve">BRUGNATO </t>
  </si>
  <si>
    <t xml:space="preserve">CAIRO MONTENOTTE </t>
  </si>
  <si>
    <t xml:space="preserve">CALICE AL CORNOVIGLIO </t>
  </si>
  <si>
    <t xml:space="preserve">CARRODANO </t>
  </si>
  <si>
    <t xml:space="preserve">CASANOVA LERRONE </t>
  </si>
  <si>
    <t xml:space="preserve">CASTELBIANCO </t>
  </si>
  <si>
    <t xml:space="preserve">CASTIGLIONE CHIAVARESE </t>
  </si>
  <si>
    <t xml:space="preserve">CERIANA </t>
  </si>
  <si>
    <t xml:space="preserve">CHIUSANICO </t>
  </si>
  <si>
    <t xml:space="preserve">CIPRESSA </t>
  </si>
  <si>
    <t xml:space="preserve">COREGLIA LIGURE </t>
  </si>
  <si>
    <t xml:space="preserve">COSSERIA </t>
  </si>
  <si>
    <t xml:space="preserve">DIANO SAN PIETRO </t>
  </si>
  <si>
    <t xml:space="preserve">ERLI </t>
  </si>
  <si>
    <t xml:space="preserve">FASCIA </t>
  </si>
  <si>
    <t xml:space="preserve">FONTANIGORDA </t>
  </si>
  <si>
    <t xml:space="preserve">GIUSTENICE </t>
  </si>
  <si>
    <t xml:space="preserve">GORRETO </t>
  </si>
  <si>
    <t xml:space="preserve">LEVANTO </t>
  </si>
  <si>
    <t xml:space="preserve">LORSICA </t>
  </si>
  <si>
    <t xml:space="preserve">LUMARZO </t>
  </si>
  <si>
    <t xml:space="preserve">MAGLIOLO </t>
  </si>
  <si>
    <t xml:space="preserve">MOCONESI </t>
  </si>
  <si>
    <t xml:space="preserve">MOLINI DI TRIORA </t>
  </si>
  <si>
    <t xml:space="preserve">MONTALTO LIGURE </t>
  </si>
  <si>
    <t xml:space="preserve">MONTEGROSSO PIAN LATTE </t>
  </si>
  <si>
    <t xml:space="preserve">MONTEROSSO AL MARE </t>
  </si>
  <si>
    <t xml:space="preserve">ORCO FEGLINO </t>
  </si>
  <si>
    <t xml:space="preserve">ORERO </t>
  </si>
  <si>
    <t xml:space="preserve">PIETRABRUNA </t>
  </si>
  <si>
    <t xml:space="preserve">PLODIO </t>
  </si>
  <si>
    <t xml:space="preserve">PONTINVREA </t>
  </si>
  <si>
    <t xml:space="preserve">PORNASSIO </t>
  </si>
  <si>
    <t xml:space="preserve">PROPATA </t>
  </si>
  <si>
    <t xml:space="preserve">ROCCHETTA DI VARA </t>
  </si>
  <si>
    <t xml:space="preserve">ROVEGNO </t>
  </si>
  <si>
    <t xml:space="preserve">SASSELLO </t>
  </si>
  <si>
    <t xml:space="preserve">STELLANELLO </t>
  </si>
  <si>
    <t xml:space="preserve">TERZORIO </t>
  </si>
  <si>
    <t xml:space="preserve">TIGLIETO </t>
  </si>
  <si>
    <t xml:space="preserve">TOIRANO </t>
  </si>
  <si>
    <t xml:space="preserve">TRIBOGNA </t>
  </si>
  <si>
    <t xml:space="preserve">VALBREVENNA </t>
  </si>
  <si>
    <t xml:space="preserve">VILLA FARALDI </t>
  </si>
  <si>
    <t xml:space="preserve">ZUCCARELLO </t>
  </si>
  <si>
    <t xml:space="preserve">AIROLE </t>
  </si>
  <si>
    <t xml:space="preserve">QUARTA </t>
  </si>
  <si>
    <t xml:space="preserve">APRICALE </t>
  </si>
  <si>
    <t xml:space="preserve">AQUILA DI ARROSCIA </t>
  </si>
  <si>
    <t xml:space="preserve">ARMO </t>
  </si>
  <si>
    <t xml:space="preserve">AURIGO </t>
  </si>
  <si>
    <t xml:space="preserve">BAIARDO </t>
  </si>
  <si>
    <t xml:space="preserve">BALESTRINO </t>
  </si>
  <si>
    <t xml:space="preserve">BARDINETO </t>
  </si>
  <si>
    <t xml:space="preserve">BORGHETTO D'ARROSCIA </t>
  </si>
  <si>
    <t xml:space="preserve">BORMIDA </t>
  </si>
  <si>
    <t xml:space="preserve">CALIZZANO </t>
  </si>
  <si>
    <t xml:space="preserve">CARAVONICA </t>
  </si>
  <si>
    <t xml:space="preserve">CARPASIO </t>
  </si>
  <si>
    <t xml:space="preserve">CARRO </t>
  </si>
  <si>
    <t xml:space="preserve">CASTEL VITTORIO </t>
  </si>
  <si>
    <t xml:space="preserve">CASTELVECCHIO ROCCA BARBENA </t>
  </si>
  <si>
    <t xml:space="preserve">CESIO </t>
  </si>
  <si>
    <t xml:space="preserve">COSIO DI ARROSCIA </t>
  </si>
  <si>
    <t xml:space="preserve">DEGO </t>
  </si>
  <si>
    <t xml:space="preserve">DIANO ARENTINO </t>
  </si>
  <si>
    <t xml:space="preserve">FAVALE DI MALVARO </t>
  </si>
  <si>
    <t xml:space="preserve">ISOLABONA </t>
  </si>
  <si>
    <t xml:space="preserve">LUCINASCO </t>
  </si>
  <si>
    <t xml:space="preserve">MAISSANA </t>
  </si>
  <si>
    <t xml:space="preserve">MALLARE </t>
  </si>
  <si>
    <t xml:space="preserve">MASSIMINO </t>
  </si>
  <si>
    <t xml:space="preserve">MENDATICA </t>
  </si>
  <si>
    <t xml:space="preserve">MEZZANEGO </t>
  </si>
  <si>
    <t xml:space="preserve">MIOGLIA </t>
  </si>
  <si>
    <t xml:space="preserve">MONTEBRUNO </t>
  </si>
  <si>
    <t xml:space="preserve">MURIALDO </t>
  </si>
  <si>
    <t xml:space="preserve">NASINO </t>
  </si>
  <si>
    <t xml:space="preserve">NEIRONE </t>
  </si>
  <si>
    <t xml:space="preserve">OLIVETTA SAN MICHELE </t>
  </si>
  <si>
    <t xml:space="preserve">ONZO </t>
  </si>
  <si>
    <t xml:space="preserve">OSIGLIA </t>
  </si>
  <si>
    <t xml:space="preserve">PALLARE </t>
  </si>
  <si>
    <t xml:space="preserve">PERINALDO </t>
  </si>
  <si>
    <t xml:space="preserve">PIANA CRIXIA </t>
  </si>
  <si>
    <t xml:space="preserve">PIEVE DI TECO </t>
  </si>
  <si>
    <t xml:space="preserve">PIGNA </t>
  </si>
  <si>
    <t xml:space="preserve">PIGNONE </t>
  </si>
  <si>
    <t xml:space="preserve">PRELA' </t>
  </si>
  <si>
    <t xml:space="preserve">RANZO </t>
  </si>
  <si>
    <t xml:space="preserve">REZZO </t>
  </si>
  <si>
    <t xml:space="preserve">REZZOAGLIO </t>
  </si>
  <si>
    <t xml:space="preserve">RIALTO </t>
  </si>
  <si>
    <t xml:space="preserve">ROCCAVIGNALE </t>
  </si>
  <si>
    <t xml:space="preserve">ROCCHETTA NERVINA </t>
  </si>
  <si>
    <t xml:space="preserve">RONDANINA </t>
  </si>
  <si>
    <t xml:space="preserve">SAN COLOMBANO CERTENOLI </t>
  </si>
  <si>
    <t xml:space="preserve">SANTO STEFANO D'AVETO </t>
  </si>
  <si>
    <t xml:space="preserve">SEBORGA </t>
  </si>
  <si>
    <t xml:space="preserve">SESTA GODANO </t>
  </si>
  <si>
    <t xml:space="preserve">TESTICO </t>
  </si>
  <si>
    <t xml:space="preserve">TRIORA </t>
  </si>
  <si>
    <t xml:space="preserve">URBE </t>
  </si>
  <si>
    <t xml:space="preserve">VARESE LIGURE </t>
  </si>
  <si>
    <t xml:space="preserve">VENDONE </t>
  </si>
  <si>
    <t xml:space="preserve">VERNAZZA </t>
  </si>
  <si>
    <t xml:space="preserve">VESSALICO </t>
  </si>
  <si>
    <t xml:space="preserve">VOBBIA </t>
  </si>
  <si>
    <t xml:space="preserve">ZIGNAGO </t>
  </si>
  <si>
    <t>II</t>
  </si>
  <si>
    <t>III</t>
  </si>
  <si>
    <t>IV</t>
  </si>
  <si>
    <t>fascia</t>
  </si>
  <si>
    <t>maggiorazione di fascia</t>
  </si>
  <si>
    <t>totale contributo richiesto per insediamento</t>
  </si>
  <si>
    <t>numero di nuovi posti di lavoro creati sulla base del piano aziendale di sviluppo (indicare il numero scegliendo dal menù a tendina)</t>
  </si>
  <si>
    <r>
      <t xml:space="preserve">Investimenti destinati a ridurre l’impatto agricolo nelle ZVN                                         </t>
    </r>
    <r>
      <rPr>
        <i/>
        <sz val="10"/>
        <color rgb="FF000000"/>
        <rFont val="Arial"/>
        <family val="2"/>
      </rPr>
      <t>(indicare nella casella sottostante il riferimento di dettaglio alla localizzazione dell’intervento all’interno della ZVN/investimento e, se necessario, completare la descrizione nella relazione)</t>
    </r>
  </si>
  <si>
    <t>9.   INFORMAZIONI GENERALI INCREMENTO OCCUPAZIONALE, CONOSCENZE E COMPETENZE PROFESSIONALI, NECESSITA' DI FORMAZIONE</t>
  </si>
  <si>
    <t xml:space="preserve">… specificare quali sono le conoscenze e competenze professionali del beneficiario, la previsione di incremento occupazionale, le eventuali necessità di formazione e consulenza </t>
  </si>
  <si>
    <t>-  sia dimostrato che gli stessi sono in linea con le previsioni del bando della sottomisura 4.1 e 6.1 e più in generale del PSR 2014 2022;</t>
  </si>
  <si>
    <t>L’attuazione di interventi previsti dalla sottomisura 4.1 e 6.1 - pacchetto giovani, presuppone tra l’altro un’analisi dell’azienda in modo tale che:</t>
  </si>
  <si>
    <t xml:space="preserve">Maggiorazione per insediamento in aziende costituite per almeno il 50% da terreni non coltivati da almeno 5 anni </t>
  </si>
  <si>
    <t>Maggiorazione per insediamento in aziende precedentemente condotte da soggetti privi di vincoli di parentela con il giovane sino al terzo grado</t>
  </si>
  <si>
    <t>in possesso del requisito della capacità professionale per</t>
  </si>
  <si>
    <t>ESERCIZIO PER UN MINIMO DI TRE ANNI DI UN'ATTIVITA' AGRICOLA COME COADIUVANTE FAMILIARE ISCRITTO ALL'INPS</t>
  </si>
  <si>
    <t>ESERCIZIO PER UN MINIMO DI TRE ANNI DI UN'ATTIVITA' AGRICOLA COME LAVORATORE AGRICOLO ISCRITTO ALL'INPS</t>
  </si>
  <si>
    <t>IN POSSESSO DI TITOLO DI STUDIO CONFORME AL BANDO</t>
  </si>
  <si>
    <t>conseguito il</t>
  </si>
  <si>
    <t>Ente</t>
  </si>
  <si>
    <t>IN POSSESSO DI ATTESTATO DEL CORSO PROFESSIONALE ABILITANTE DI ALMENO 80 ORE</t>
  </si>
  <si>
    <t>titolo di studio</t>
  </si>
  <si>
    <t>scegliere dal menù a tendina</t>
  </si>
  <si>
    <r>
      <t xml:space="preserve">Comune di insediamento </t>
    </r>
    <r>
      <rPr>
        <b/>
        <sz val="9"/>
        <color theme="1"/>
        <rFont val="Arial"/>
        <family val="2"/>
      </rPr>
      <t xml:space="preserve">(non sono presenti i comuni in PRIMA fascia) </t>
    </r>
  </si>
  <si>
    <t>MANCANZA DEL REQUISITO MANCATE, CHE SARA CONSEGUITO COME PREVISTO DAL BANDO</t>
  </si>
  <si>
    <t>SI</t>
  </si>
  <si>
    <t xml:space="preserve">contributo supplem </t>
  </si>
  <si>
    <t>contrib supplem</t>
  </si>
  <si>
    <r>
      <t xml:space="preserve">Investimenti destinati alla riduzione dell’impatto ambientale in termini di riduzione nell’utilizzo delle risorse energetiche e idriche, in termini di riduzione di emissioni nocive per l’ambiente o in termini di riduzione del rischio di dissesto idrogeologico                  </t>
    </r>
    <r>
      <rPr>
        <i/>
        <sz val="12"/>
        <color indexed="8"/>
        <rFont val="Arial"/>
        <family val="2"/>
      </rPr>
      <t>(</t>
    </r>
    <r>
      <rPr>
        <i/>
        <sz val="10"/>
        <color indexed="8"/>
        <rFont val="Arial"/>
        <family val="2"/>
      </rPr>
      <t>Gli investimenti destinati alla riduzione dell’impatto ambientale sono esclusivamente quelli indicati nella tabella presente nella pagina dedicata al bando su Agriligurianet.it - indicare nella tabella sottostante il costo dell'intervento collegato alla riduzione dell'impatto ambientale e, se necessario, completare la descrizione nella relazione)</t>
    </r>
    <r>
      <rPr>
        <b/>
        <sz val="12"/>
        <color rgb="FF000000"/>
        <rFont val="Arial"/>
        <family val="2"/>
      </rPr>
      <t xml:space="preserve">                                          </t>
    </r>
  </si>
  <si>
    <t>obiettivo ambientale</t>
  </si>
  <si>
    <t>% sul totale</t>
  </si>
  <si>
    <t>Miglioramento della qualità dell’acqua</t>
  </si>
  <si>
    <t>Riduzione del consumo di combustibili fossili</t>
  </si>
  <si>
    <t>Riduzione del consumo di concimi, fitofarmaci ed acqua</t>
  </si>
  <si>
    <t>Riduzione del rischio di dissesto idrogeologico</t>
  </si>
  <si>
    <t>Riduzione dell’impiego di fitofarmaci</t>
  </si>
  <si>
    <t>Riduzione dell’inquinamento delle falde e dei consumi idrici</t>
  </si>
  <si>
    <t>Riduzione della produzione di rifiuti</t>
  </si>
  <si>
    <t>Riduzione delle emissioni</t>
  </si>
  <si>
    <t>Risparmio energetico</t>
  </si>
  <si>
    <t>costo int ob.am.</t>
  </si>
  <si>
    <t xml:space="preserve">costo complessivo investimenti </t>
  </si>
  <si>
    <t>somma investimenti ambientali</t>
  </si>
  <si>
    <t>incidenza invest</t>
  </si>
  <si>
    <t>%             sul totale</t>
  </si>
  <si>
    <t>- 0,1 punti per ogni punto % di incidenza dell’intervento specifico sul totale dell’operazione
- Altri investimenti relativi a prodotti di qualità = fino a 2 punti (0,04 punti per ogni punto %)</t>
  </si>
  <si>
    <t>% terreni recuper</t>
  </si>
  <si>
    <t>NO</t>
  </si>
  <si>
    <t>0,50 punti per ogni punto % di recupero di terreni abbandonati, oltre il 10%, a partire da 2 punti</t>
  </si>
  <si>
    <t>,</t>
  </si>
  <si>
    <t>1 punto per ogni punto % di terreno recuperato in rapporto alla SAU aziendale a inizio piano</t>
  </si>
  <si>
    <t>(in termini di riduzione dei consumi energetici, idrici o delle emissioni)</t>
  </si>
  <si>
    <t>Incremento delle prestazioni aziendali in termini economici e/o ambientali</t>
  </si>
  <si>
    <t>Incremento delle prestazioni in termini economici o ambientali</t>
  </si>
  <si>
    <t>L'azienda ha l'obiettivo di incrementare la Produzione standard di almeno il 10%</t>
  </si>
  <si>
    <t>L'azienda ha l'obiettivo di introdurre o incrementare processi di trasformazione dei prodotti agricoli o la commercializzazione degli stessi di almeno il 10%</t>
  </si>
  <si>
    <t>L'azienda ha l'obiettivo di ridurre i costi di produzione di almeno il 10%</t>
  </si>
  <si>
    <t>L'azienda ha l'obiettivo di ridurre consumi energetici di almeno il 10%</t>
  </si>
  <si>
    <t xml:space="preserve">L'azienda ha l'obiettivo di ridurre consumi idrici di almeno il 10% o di ridurre il rischio di dissesto idrogeologico </t>
  </si>
  <si>
    <t>L'azienda ha l'obiettivo di ridurre le emissioni di almeno il 10%</t>
  </si>
  <si>
    <t>verifica</t>
  </si>
  <si>
    <t>ESITO PRESTAZIONI ECONOMICHE O AMBIENTALI</t>
  </si>
  <si>
    <t>selez</t>
  </si>
  <si>
    <t>Importo investimeni che determinano il raggiungomento dell'obiettivo</t>
  </si>
  <si>
    <t>Specifiche / Descrizione sintetica richiamata nella relazione tecnica</t>
  </si>
  <si>
    <t>1 Kw = 1,3596 CV</t>
  </si>
  <si>
    <t>variazione rispetto alla situazione ANTE</t>
  </si>
  <si>
    <t>TOTALE INVESTIMENTI PER PRESTAZIONI AMBIENTALI</t>
  </si>
  <si>
    <t>la condizione viene verificata automaticamente riscontrando i dati caricati nella sezione PAS 3,  trasformazione e commercializzazione</t>
  </si>
  <si>
    <t>la condizione è obbligatoria e viene verificata automaticamente riscontrando il calcolo della Produzione Standard aziendale tra previsione POST e situazione ANTE</t>
  </si>
  <si>
    <t>%</t>
  </si>
  <si>
    <t>incidenza % sulla SAU a fine investimento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</si>
</sst>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4" formatCode="_-* #,##0.00\ &quot;€&quot;_-;\-* #,##0.00\ &quot;€&quot;_-;_-* &quot;-&quot;??\ &quot;€&quot;_-;_-@_-"/>
    <numFmt numFmtId="43" formatCode="_-* #,##0.00_-;\-* #,##0.00_-;_-* &quot;-&quot;??_-;_-@_-"/>
    <numFmt numFmtId="164" formatCode="_-&quot;€&quot;\ * #,##0.00_-;\-&quot;€&quot;\ * #,##0.00_-;_-&quot;€&quot;\ * &quot;-&quot;??_-;_-@_-"/>
    <numFmt numFmtId="165" formatCode="#,##0.00_ ;\-#,##0.00\ "/>
    <numFmt numFmtId="166" formatCode="&quot;€&quot;\ #,##0.00"/>
    <numFmt numFmtId="167" formatCode="0.0000"/>
    <numFmt numFmtId="168" formatCode="0.0%"/>
    <numFmt numFmtId="169" formatCode="_-* #,##0_-;\-* #,##0_-;_-* &quot;-&quot;??_-;_-@_-"/>
    <numFmt numFmtId="170" formatCode="_-* #,##0.00\ _€_-;\-* #,##0.00\ _€_-;_-* &quot;-&quot;??\ _€_-;_-@_-"/>
    <numFmt numFmtId="171" formatCode="#,##0.00\ [$€-410];\-#,##0.00\ [$€-410]"/>
    <numFmt numFmtId="172" formatCode="_-* #,##0.00\ [$€-410]_-;\-* #,##0.00\ [$€-410]_-;_-* &quot;-&quot;??\ [$€-410]_-;_-@_-"/>
    <numFmt numFmtId="173" formatCode="0000\ 000\ 0000"/>
    <numFmt numFmtId="174" formatCode="0.0"/>
    <numFmt numFmtId="175" formatCode="_-* #,##0.0\ _€_-;\-* #,##0.0\ _€_-;_-* &quot;-&quot;??\ _€_-;_-@_-"/>
    <numFmt numFmtId="176" formatCode="_-* #,##0.0_-;\-* #,##0.0_-;_-* &quot;-&quot;??_-;_-@_-"/>
  </numFmts>
  <fonts count="110" x14ac:knownFonts="1">
    <font>
      <sz val="10"/>
      <name val="Arial"/>
    </font>
    <font>
      <sz val="11"/>
      <color theme="1"/>
      <name val="Arial"/>
      <family val="2"/>
    </font>
    <font>
      <sz val="10"/>
      <name val="Arial"/>
    </font>
    <font>
      <sz val="10"/>
      <name val="Arial"/>
      <family val="2"/>
    </font>
    <font>
      <b/>
      <sz val="28"/>
      <name val="Arial"/>
      <family val="2"/>
    </font>
    <font>
      <sz val="14"/>
      <name val="Arial"/>
      <family val="2"/>
    </font>
    <font>
      <b/>
      <sz val="8"/>
      <name val="Arial"/>
      <family val="2"/>
    </font>
    <font>
      <sz val="20"/>
      <name val="Arial"/>
      <family val="2"/>
    </font>
    <font>
      <sz val="12"/>
      <name val="Arial"/>
      <family val="2"/>
    </font>
    <font>
      <b/>
      <sz val="24"/>
      <name val="Arial"/>
      <family val="2"/>
    </font>
    <font>
      <b/>
      <sz val="18"/>
      <name val="Arial"/>
      <family val="2"/>
    </font>
    <font>
      <b/>
      <sz val="40"/>
      <name val="Arial"/>
      <family val="2"/>
    </font>
    <font>
      <sz val="14"/>
      <color indexed="9"/>
      <name val="Arial"/>
      <family val="2"/>
    </font>
    <font>
      <b/>
      <sz val="14"/>
      <color indexed="9"/>
      <name val="Arial"/>
      <family val="2"/>
    </font>
    <font>
      <b/>
      <sz val="16"/>
      <name val="Arial"/>
      <family val="2"/>
    </font>
    <font>
      <sz val="16"/>
      <name val="Arial"/>
      <family val="2"/>
    </font>
    <font>
      <b/>
      <sz val="14"/>
      <name val="Arial"/>
      <family val="2"/>
    </font>
    <font>
      <sz val="18"/>
      <name val="Arial"/>
      <family val="2"/>
    </font>
    <font>
      <u/>
      <sz val="18"/>
      <name val="Arial"/>
      <family val="2"/>
    </font>
    <font>
      <i/>
      <sz val="14"/>
      <name val="Arial"/>
      <family val="2"/>
    </font>
    <font>
      <u/>
      <sz val="10"/>
      <color indexed="12"/>
      <name val="Arial"/>
      <family val="2"/>
    </font>
    <font>
      <i/>
      <sz val="10"/>
      <name val="Arial"/>
      <family val="2"/>
    </font>
    <font>
      <b/>
      <sz val="30"/>
      <name val="Arial"/>
      <family val="2"/>
    </font>
    <font>
      <b/>
      <i/>
      <sz val="18"/>
      <name val="Arial"/>
      <family val="2"/>
    </font>
    <font>
      <sz val="13"/>
      <name val="Arial"/>
      <family val="2"/>
    </font>
    <font>
      <b/>
      <u/>
      <sz val="18"/>
      <name val="Arial"/>
      <family val="2"/>
    </font>
    <font>
      <b/>
      <sz val="13"/>
      <name val="Arial"/>
      <family val="2"/>
    </font>
    <font>
      <b/>
      <sz val="20"/>
      <name val="Arial"/>
      <family val="2"/>
    </font>
    <font>
      <sz val="24"/>
      <name val="Arial"/>
      <family val="2"/>
    </font>
    <font>
      <i/>
      <sz val="18"/>
      <name val="Arial"/>
      <family val="2"/>
    </font>
    <font>
      <b/>
      <i/>
      <sz val="14"/>
      <name val="Arial"/>
      <family val="2"/>
    </font>
    <font>
      <b/>
      <i/>
      <sz val="24"/>
      <color indexed="9"/>
      <name val="Arial"/>
      <family val="2"/>
    </font>
    <font>
      <b/>
      <i/>
      <sz val="20"/>
      <name val="Arial"/>
      <family val="2"/>
    </font>
    <font>
      <b/>
      <i/>
      <sz val="16"/>
      <name val="Arial"/>
      <family val="2"/>
    </font>
    <font>
      <i/>
      <sz val="11"/>
      <name val="Arial"/>
      <family val="2"/>
    </font>
    <font>
      <b/>
      <i/>
      <sz val="22"/>
      <name val="Arial"/>
      <family val="2"/>
    </font>
    <font>
      <i/>
      <sz val="12"/>
      <name val="Arial"/>
      <family val="2"/>
    </font>
    <font>
      <sz val="28"/>
      <name val="Arial"/>
      <family val="2"/>
    </font>
    <font>
      <b/>
      <sz val="12"/>
      <name val="Arial"/>
      <family val="2"/>
    </font>
    <font>
      <b/>
      <sz val="10"/>
      <name val="Arial"/>
      <family val="2"/>
    </font>
    <font>
      <u/>
      <sz val="14"/>
      <color indexed="12"/>
      <name val="Arial"/>
      <family val="2"/>
    </font>
    <font>
      <b/>
      <sz val="14"/>
      <color indexed="10"/>
      <name val="Arial"/>
      <family val="2"/>
    </font>
    <font>
      <b/>
      <u/>
      <sz val="14"/>
      <name val="Arial"/>
      <family val="2"/>
    </font>
    <font>
      <b/>
      <i/>
      <sz val="24"/>
      <name val="Arial"/>
      <family val="2"/>
    </font>
    <font>
      <b/>
      <sz val="16"/>
      <color indexed="10"/>
      <name val="Arial"/>
      <family val="2"/>
    </font>
    <font>
      <b/>
      <sz val="22"/>
      <name val="Arial"/>
      <family val="2"/>
    </font>
    <font>
      <b/>
      <sz val="11"/>
      <name val="Arial"/>
      <family val="2"/>
    </font>
    <font>
      <b/>
      <sz val="48"/>
      <name val="Arial"/>
      <family val="2"/>
    </font>
    <font>
      <b/>
      <u/>
      <sz val="16"/>
      <color indexed="10"/>
      <name val="Arial"/>
      <family val="2"/>
    </font>
    <font>
      <b/>
      <sz val="18"/>
      <color indexed="10"/>
      <name val="Arial"/>
      <family val="2"/>
    </font>
    <font>
      <sz val="10"/>
      <color indexed="8"/>
      <name val="Arial"/>
      <family val="2"/>
    </font>
    <font>
      <sz val="8"/>
      <color indexed="8"/>
      <name val="Arial"/>
      <family val="2"/>
    </font>
    <font>
      <sz val="11"/>
      <color indexed="8"/>
      <name val="Arial"/>
      <family val="2"/>
    </font>
    <font>
      <b/>
      <sz val="11"/>
      <color indexed="8"/>
      <name val="Arial"/>
      <family val="2"/>
    </font>
    <font>
      <b/>
      <sz val="16"/>
      <color indexed="8"/>
      <name val="Arial"/>
      <family val="2"/>
    </font>
    <font>
      <b/>
      <sz val="12"/>
      <color indexed="8"/>
      <name val="Arial"/>
      <family val="2"/>
    </font>
    <font>
      <sz val="12"/>
      <color indexed="8"/>
      <name val="Arial"/>
      <family val="2"/>
    </font>
    <font>
      <sz val="9"/>
      <color indexed="8"/>
      <name val="Arial"/>
      <family val="2"/>
    </font>
    <font>
      <sz val="11"/>
      <name val="Arial"/>
      <family val="2"/>
    </font>
    <font>
      <b/>
      <sz val="16"/>
      <color indexed="9"/>
      <name val="Arial"/>
      <family val="2"/>
    </font>
    <font>
      <b/>
      <sz val="12"/>
      <color indexed="9"/>
      <name val="Arial"/>
      <family val="2"/>
    </font>
    <font>
      <b/>
      <sz val="14"/>
      <color indexed="11"/>
      <name val="Arial"/>
      <family val="2"/>
    </font>
    <font>
      <sz val="22"/>
      <name val="Arial"/>
      <family val="2"/>
    </font>
    <font>
      <b/>
      <i/>
      <sz val="12"/>
      <name val="Arial"/>
      <family val="2"/>
    </font>
    <font>
      <b/>
      <i/>
      <sz val="18"/>
      <color indexed="9"/>
      <name val="Arial"/>
      <family val="2"/>
    </font>
    <font>
      <b/>
      <i/>
      <u/>
      <sz val="14"/>
      <name val="Arial"/>
      <family val="2"/>
    </font>
    <font>
      <i/>
      <sz val="9"/>
      <name val="Arial"/>
      <family val="2"/>
    </font>
    <font>
      <sz val="9"/>
      <name val="Arial"/>
      <family val="2"/>
    </font>
    <font>
      <b/>
      <u/>
      <sz val="14"/>
      <color indexed="10"/>
      <name val="Arial"/>
      <family val="2"/>
    </font>
    <font>
      <sz val="8"/>
      <name val="Arial"/>
      <family val="2"/>
    </font>
    <font>
      <b/>
      <sz val="36"/>
      <name val="Arial"/>
      <family val="2"/>
    </font>
    <font>
      <sz val="11"/>
      <color theme="1"/>
      <name val="Calibri"/>
      <family val="2"/>
      <scheme val="minor"/>
    </font>
    <font>
      <b/>
      <sz val="14"/>
      <color theme="1"/>
      <name val="Arial"/>
      <family val="2"/>
    </font>
    <font>
      <sz val="11"/>
      <color theme="1"/>
      <name val="Arial"/>
      <family val="2"/>
    </font>
    <font>
      <b/>
      <sz val="11"/>
      <color theme="1"/>
      <name val="Arial"/>
      <family val="2"/>
    </font>
    <font>
      <sz val="12"/>
      <color theme="1"/>
      <name val="Arial"/>
      <family val="2"/>
    </font>
    <font>
      <sz val="9"/>
      <color theme="1"/>
      <name val="Arial"/>
      <family val="2"/>
    </font>
    <font>
      <sz val="8"/>
      <color theme="1"/>
      <name val="Arial"/>
      <family val="2"/>
    </font>
    <font>
      <b/>
      <sz val="9"/>
      <color theme="1"/>
      <name val="Arial"/>
      <family val="2"/>
    </font>
    <font>
      <b/>
      <sz val="11"/>
      <color rgb="FF000000"/>
      <name val="Arial"/>
      <family val="2"/>
    </font>
    <font>
      <b/>
      <sz val="12"/>
      <color theme="1"/>
      <name val="Arial"/>
      <family val="2"/>
    </font>
    <font>
      <b/>
      <sz val="12"/>
      <color rgb="FF000000"/>
      <name val="Arial"/>
      <family val="2"/>
    </font>
    <font>
      <sz val="12"/>
      <color rgb="FF000000"/>
      <name val="Arial"/>
      <family val="2"/>
    </font>
    <font>
      <sz val="10"/>
      <color theme="3" tint="0.59999389629810485"/>
      <name val="Arial"/>
      <family val="2"/>
    </font>
    <font>
      <b/>
      <sz val="9"/>
      <color rgb="FF000000"/>
      <name val="Arial"/>
      <family val="2"/>
    </font>
    <font>
      <sz val="10"/>
      <color rgb="FFFF0000"/>
      <name val="Arial"/>
      <family val="2"/>
    </font>
    <font>
      <sz val="18"/>
      <color theme="3" tint="0.59999389629810485"/>
      <name val="Arial"/>
      <family val="2"/>
    </font>
    <font>
      <i/>
      <sz val="10"/>
      <color indexed="8"/>
      <name val="Arial"/>
      <family val="2"/>
    </font>
    <font>
      <i/>
      <sz val="12"/>
      <color indexed="8"/>
      <name val="Arial"/>
      <family val="2"/>
    </font>
    <font>
      <b/>
      <sz val="12"/>
      <color theme="3" tint="0.59999389629810485"/>
      <name val="Arial"/>
      <family val="2"/>
    </font>
    <font>
      <sz val="10"/>
      <color rgb="FF000000"/>
      <name val="Arial"/>
      <family val="2"/>
    </font>
    <font>
      <b/>
      <sz val="8"/>
      <color theme="1"/>
      <name val="Arial"/>
      <family val="2"/>
    </font>
    <font>
      <b/>
      <sz val="8"/>
      <color rgb="FF000000"/>
      <name val="Arial"/>
      <family val="2"/>
    </font>
    <font>
      <sz val="9"/>
      <color rgb="FF000000"/>
      <name val="Arial"/>
      <family val="2"/>
    </font>
    <font>
      <sz val="14"/>
      <color theme="1"/>
      <name val="Arial"/>
      <family val="2"/>
    </font>
    <font>
      <i/>
      <sz val="10"/>
      <color rgb="FF000000"/>
      <name val="Arial"/>
      <family val="2"/>
    </font>
    <font>
      <sz val="11"/>
      <color theme="0"/>
      <name val="Arial"/>
      <family val="2"/>
    </font>
    <font>
      <b/>
      <sz val="10"/>
      <color theme="1"/>
      <name val="Arial"/>
      <family val="2"/>
    </font>
    <font>
      <b/>
      <sz val="10"/>
      <color rgb="FF000000"/>
      <name val="Arial"/>
      <family val="2"/>
    </font>
    <font>
      <sz val="10"/>
      <color theme="0"/>
      <name val="Arial"/>
      <family val="2"/>
    </font>
    <font>
      <sz val="10"/>
      <color theme="1"/>
      <name val="Arial"/>
      <family val="2"/>
    </font>
    <font>
      <sz val="9"/>
      <color indexed="81"/>
      <name val="Tahoma"/>
      <family val="2"/>
    </font>
    <font>
      <b/>
      <sz val="9"/>
      <color indexed="81"/>
      <name val="Tahoma"/>
      <family val="2"/>
    </font>
    <font>
      <b/>
      <sz val="6"/>
      <color theme="1"/>
      <name val="Arial"/>
      <family val="2"/>
    </font>
    <font>
      <sz val="11"/>
      <color indexed="81"/>
      <name val="Tahoma"/>
      <family val="2"/>
    </font>
    <font>
      <sz val="12"/>
      <color theme="0"/>
      <name val="Arial"/>
      <family val="2"/>
    </font>
    <font>
      <sz val="24"/>
      <color theme="0"/>
      <name val="Arial"/>
      <family val="2"/>
    </font>
    <font>
      <sz val="14"/>
      <color theme="0"/>
      <name val="Arial"/>
      <family val="2"/>
    </font>
    <font>
      <sz val="18"/>
      <color theme="0"/>
      <name val="Arial"/>
      <family val="2"/>
    </font>
    <font>
      <sz val="13"/>
      <color theme="0"/>
      <name val="Arial"/>
      <family val="2"/>
    </font>
  </fonts>
  <fills count="16">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11"/>
        <bgColor indexed="64"/>
      </patternFill>
    </fill>
    <fill>
      <patternFill patternType="solid">
        <fgColor indexed="10"/>
        <bgColor indexed="64"/>
      </patternFill>
    </fill>
    <fill>
      <patternFill patternType="solid">
        <fgColor theme="8" tint="0.7999816888943144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0"/>
        <bgColor indexed="64"/>
      </patternFill>
    </fill>
    <fill>
      <patternFill patternType="solid">
        <fgColor rgb="FFF8F9FA"/>
        <bgColor indexed="64"/>
      </patternFill>
    </fill>
    <fill>
      <patternFill patternType="solid">
        <fgColor rgb="FF00B0F0"/>
        <bgColor indexed="64"/>
      </patternFill>
    </fill>
    <fill>
      <patternFill patternType="solid">
        <fgColor rgb="FF00FF00"/>
        <bgColor indexed="64"/>
      </patternFill>
    </fill>
    <fill>
      <patternFill patternType="solid">
        <fgColor rgb="FF0000FF"/>
        <bgColor indexed="64"/>
      </patternFill>
    </fill>
    <fill>
      <patternFill patternType="solid">
        <fgColor theme="0" tint="-0.149998474074526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medium">
        <color rgb="FFA2A9B1"/>
      </left>
      <right style="medium">
        <color rgb="FFA2A9B1"/>
      </right>
      <top style="medium">
        <color rgb="FFA2A9B1"/>
      </top>
      <bottom style="medium">
        <color rgb="FFA2A9B1"/>
      </bottom>
      <diagonal/>
    </border>
    <border>
      <left/>
      <right style="thin">
        <color indexed="64"/>
      </right>
      <top/>
      <bottom/>
      <diagonal/>
    </border>
  </borders>
  <cellStyleXfs count="8">
    <xf numFmtId="0" fontId="0" fillId="0" borderId="0"/>
    <xf numFmtId="0" fontId="20" fillId="0" borderId="0" applyNumberFormat="0" applyFill="0" applyBorder="0" applyAlignment="0" applyProtection="0">
      <alignment vertical="top"/>
      <protection locked="0"/>
    </xf>
    <xf numFmtId="43" fontId="2" fillId="0" borderId="0" applyFont="0" applyFill="0" applyBorder="0" applyAlignment="0" applyProtection="0"/>
    <xf numFmtId="0" fontId="3" fillId="0" borderId="0"/>
    <xf numFmtId="0" fontId="71" fillId="0" borderId="0"/>
    <xf numFmtId="9" fontId="2" fillId="0" borderId="0" applyFont="0" applyFill="0" applyBorder="0" applyAlignment="0" applyProtection="0"/>
    <xf numFmtId="9" fontId="3" fillId="0" borderId="0" applyFont="0" applyFill="0" applyBorder="0" applyAlignment="0" applyProtection="0"/>
    <xf numFmtId="44" fontId="2" fillId="0" borderId="0" applyFont="0" applyFill="0" applyBorder="0" applyAlignment="0" applyProtection="0"/>
  </cellStyleXfs>
  <cellXfs count="909">
    <xf numFmtId="0" fontId="0" fillId="0" borderId="0" xfId="0"/>
    <xf numFmtId="49" fontId="5" fillId="0" borderId="0" xfId="0" applyNumberFormat="1" applyFont="1" applyAlignment="1">
      <alignment vertical="center"/>
    </xf>
    <xf numFmtId="49" fontId="16" fillId="0" borderId="0" xfId="0" applyNumberFormat="1" applyFont="1" applyAlignment="1">
      <alignment horizontal="left"/>
    </xf>
    <xf numFmtId="49" fontId="5" fillId="0" borderId="0" xfId="0" applyNumberFormat="1" applyFont="1" applyAlignment="1">
      <alignment horizontal="left"/>
    </xf>
    <xf numFmtId="49" fontId="8" fillId="0" borderId="0" xfId="0" applyNumberFormat="1" applyFont="1" applyAlignment="1">
      <alignment horizontal="right"/>
    </xf>
    <xf numFmtId="49" fontId="27" fillId="0" borderId="0" xfId="0" applyNumberFormat="1" applyFont="1" applyAlignment="1">
      <alignment horizontal="center" vertical="center"/>
    </xf>
    <xf numFmtId="49" fontId="27" fillId="2" borderId="1" xfId="0" applyNumberFormat="1" applyFont="1" applyFill="1" applyBorder="1" applyAlignment="1" applyProtection="1">
      <alignment horizontal="center" vertical="center"/>
      <protection locked="0"/>
    </xf>
    <xf numFmtId="49" fontId="19" fillId="0" borderId="0" xfId="0" applyNumberFormat="1" applyFont="1" applyAlignment="1">
      <alignment horizontal="center"/>
    </xf>
    <xf numFmtId="0" fontId="21" fillId="0" borderId="0" xfId="0" applyFont="1" applyAlignment="1">
      <alignment horizontal="center"/>
    </xf>
    <xf numFmtId="49" fontId="16" fillId="0" borderId="0" xfId="0" quotePrefix="1" applyNumberFormat="1" applyFont="1" applyAlignment="1">
      <alignment horizontal="left"/>
    </xf>
    <xf numFmtId="49" fontId="10" fillId="0" borderId="0" xfId="0" quotePrefix="1" applyNumberFormat="1" applyFont="1" applyAlignment="1">
      <alignment horizontal="left"/>
    </xf>
    <xf numFmtId="49" fontId="16" fillId="0" borderId="0" xfId="0" applyNumberFormat="1" applyFont="1" applyAlignment="1">
      <alignment vertical="center"/>
    </xf>
    <xf numFmtId="164" fontId="7" fillId="3" borderId="0" xfId="0" applyNumberFormat="1" applyFont="1" applyFill="1" applyAlignment="1">
      <alignment horizontal="center" vertical="center" wrapText="1"/>
    </xf>
    <xf numFmtId="49" fontId="3" fillId="0" borderId="0" xfId="0" applyNumberFormat="1" applyFont="1" applyAlignment="1">
      <alignment vertical="center"/>
    </xf>
    <xf numFmtId="49" fontId="17" fillId="0" borderId="0" xfId="0" applyNumberFormat="1" applyFont="1" applyAlignment="1">
      <alignment vertical="center"/>
    </xf>
    <xf numFmtId="49" fontId="12" fillId="0" borderId="0" xfId="0" applyNumberFormat="1" applyFont="1" applyAlignment="1">
      <alignment vertical="center"/>
    </xf>
    <xf numFmtId="49" fontId="13" fillId="0" borderId="0" xfId="0" applyNumberFormat="1" applyFont="1" applyAlignment="1">
      <alignment horizontal="center" vertical="center"/>
    </xf>
    <xf numFmtId="49" fontId="15" fillId="0" borderId="0" xfId="0" applyNumberFormat="1" applyFont="1" applyAlignment="1">
      <alignment vertical="center"/>
    </xf>
    <xf numFmtId="49" fontId="16" fillId="0" borderId="0" xfId="0" applyNumberFormat="1" applyFont="1"/>
    <xf numFmtId="49" fontId="38" fillId="0" borderId="0" xfId="0" applyNumberFormat="1" applyFont="1" applyAlignment="1">
      <alignment horizontal="right"/>
    </xf>
    <xf numFmtId="49" fontId="17" fillId="0" borderId="0" xfId="0" applyNumberFormat="1" applyFont="1" applyAlignment="1">
      <alignment horizontal="left"/>
    </xf>
    <xf numFmtId="0" fontId="48" fillId="0" borderId="0" xfId="0" applyFont="1" applyAlignment="1">
      <alignment vertical="center"/>
    </xf>
    <xf numFmtId="49" fontId="19" fillId="0" borderId="0" xfId="0" applyNumberFormat="1" applyFont="1" applyAlignment="1">
      <alignment horizontal="center" vertical="center"/>
    </xf>
    <xf numFmtId="0" fontId="31" fillId="3" borderId="0" xfId="0" applyFont="1" applyFill="1" applyAlignment="1">
      <alignment vertical="center"/>
    </xf>
    <xf numFmtId="0" fontId="28" fillId="0" borderId="0" xfId="0" applyFont="1" applyAlignment="1">
      <alignment horizontal="center" vertical="center"/>
    </xf>
    <xf numFmtId="49" fontId="16" fillId="0" borderId="0" xfId="0" applyNumberFormat="1" applyFont="1" applyAlignment="1">
      <alignment horizontal="center" vertical="center"/>
    </xf>
    <xf numFmtId="49" fontId="5" fillId="3" borderId="0" xfId="0" applyNumberFormat="1" applyFont="1" applyFill="1" applyAlignment="1">
      <alignment vertical="center"/>
    </xf>
    <xf numFmtId="49" fontId="16" fillId="3" borderId="0" xfId="0" applyNumberFormat="1" applyFont="1" applyFill="1" applyAlignment="1">
      <alignment horizontal="center" vertical="center"/>
    </xf>
    <xf numFmtId="49" fontId="10" fillId="0" borderId="2" xfId="0" applyNumberFormat="1" applyFont="1" applyBorder="1" applyAlignment="1">
      <alignment horizontal="left"/>
    </xf>
    <xf numFmtId="49" fontId="10" fillId="0" borderId="2" xfId="0" applyNumberFormat="1" applyFont="1" applyBorder="1"/>
    <xf numFmtId="49" fontId="17" fillId="0" borderId="2" xfId="0" applyNumberFormat="1" applyFont="1" applyBorder="1" applyAlignment="1">
      <alignment vertical="center"/>
    </xf>
    <xf numFmtId="49" fontId="17" fillId="3" borderId="0" xfId="0" applyNumberFormat="1" applyFont="1" applyFill="1" applyAlignment="1">
      <alignment vertical="center"/>
    </xf>
    <xf numFmtId="0" fontId="5" fillId="0" borderId="0" xfId="0" applyFont="1" applyAlignment="1">
      <alignment vertical="center"/>
    </xf>
    <xf numFmtId="0" fontId="5" fillId="3" borderId="0" xfId="0" applyFont="1" applyFill="1" applyAlignment="1">
      <alignment vertical="center"/>
    </xf>
    <xf numFmtId="49" fontId="5" fillId="3" borderId="0" xfId="0" applyNumberFormat="1" applyFont="1" applyFill="1" applyAlignment="1">
      <alignment vertical="center" wrapText="1"/>
    </xf>
    <xf numFmtId="49" fontId="5" fillId="0" borderId="0" xfId="0" applyNumberFormat="1" applyFont="1" applyAlignment="1">
      <alignment vertical="top"/>
    </xf>
    <xf numFmtId="49" fontId="5" fillId="3" borderId="0" xfId="0" applyNumberFormat="1" applyFont="1" applyFill="1" applyAlignment="1">
      <alignment vertical="top"/>
    </xf>
    <xf numFmtId="49" fontId="19" fillId="3" borderId="0" xfId="0" applyNumberFormat="1" applyFont="1" applyFill="1" applyAlignment="1">
      <alignment vertical="center" wrapText="1"/>
    </xf>
    <xf numFmtId="0" fontId="5" fillId="0" borderId="0" xfId="0" applyFont="1"/>
    <xf numFmtId="0" fontId="5" fillId="3" borderId="0" xfId="0" applyFont="1" applyFill="1"/>
    <xf numFmtId="0" fontId="19" fillId="3" borderId="0" xfId="0" applyFont="1" applyFill="1" applyAlignment="1">
      <alignment vertical="center" wrapText="1"/>
    </xf>
    <xf numFmtId="0" fontId="7" fillId="0" borderId="0" xfId="0" applyFont="1"/>
    <xf numFmtId="49" fontId="5" fillId="3" borderId="0" xfId="0" applyNumberFormat="1" applyFont="1" applyFill="1" applyAlignment="1">
      <alignment horizontal="left" vertical="center"/>
    </xf>
    <xf numFmtId="49" fontId="5" fillId="3" borderId="0" xfId="0" applyNumberFormat="1" applyFont="1" applyFill="1" applyAlignment="1">
      <alignment horizontal="center" vertical="center"/>
    </xf>
    <xf numFmtId="2" fontId="5" fillId="3" borderId="0" xfId="0" applyNumberFormat="1" applyFont="1" applyFill="1" applyAlignment="1">
      <alignment horizontal="right" vertical="center"/>
    </xf>
    <xf numFmtId="2" fontId="10" fillId="3" borderId="0" xfId="0" applyNumberFormat="1" applyFont="1" applyFill="1" applyAlignment="1">
      <alignment horizontal="right" vertical="center"/>
    </xf>
    <xf numFmtId="49" fontId="10" fillId="3" borderId="0" xfId="0" applyNumberFormat="1" applyFont="1" applyFill="1" applyAlignment="1">
      <alignment horizontal="right" vertical="center"/>
    </xf>
    <xf numFmtId="0" fontId="30" fillId="0" borderId="0" xfId="0" applyFont="1" applyAlignment="1">
      <alignment vertical="center"/>
    </xf>
    <xf numFmtId="0" fontId="17" fillId="3" borderId="0" xfId="0" applyFont="1" applyFill="1"/>
    <xf numFmtId="0" fontId="17" fillId="0" borderId="0" xfId="0" applyFont="1"/>
    <xf numFmtId="0" fontId="28" fillId="0" borderId="0" xfId="0" applyFont="1" applyAlignment="1">
      <alignment vertical="center"/>
    </xf>
    <xf numFmtId="49" fontId="28" fillId="0" borderId="0" xfId="0" applyNumberFormat="1" applyFont="1" applyAlignment="1">
      <alignment vertical="center"/>
    </xf>
    <xf numFmtId="49" fontId="10" fillId="3" borderId="2" xfId="0" applyNumberFormat="1" applyFont="1" applyFill="1" applyBorder="1" applyAlignment="1">
      <alignment horizontal="left"/>
    </xf>
    <xf numFmtId="49" fontId="10" fillId="3" borderId="2" xfId="0" applyNumberFormat="1" applyFont="1" applyFill="1" applyBorder="1"/>
    <xf numFmtId="49" fontId="17" fillId="3" borderId="2" xfId="0" applyNumberFormat="1" applyFont="1" applyFill="1" applyBorder="1" applyAlignment="1">
      <alignment vertical="center"/>
    </xf>
    <xf numFmtId="0" fontId="17" fillId="0" borderId="0" xfId="0" applyFont="1" applyAlignment="1">
      <alignment vertical="center"/>
    </xf>
    <xf numFmtId="49" fontId="26" fillId="0" borderId="0" xfId="0" applyNumberFormat="1" applyFont="1" applyAlignment="1">
      <alignment horizontal="left"/>
    </xf>
    <xf numFmtId="49" fontId="26" fillId="0" borderId="0" xfId="0" applyNumberFormat="1" applyFont="1"/>
    <xf numFmtId="49" fontId="24" fillId="0" borderId="0" xfId="0" applyNumberFormat="1" applyFont="1" applyAlignment="1">
      <alignment vertical="center"/>
    </xf>
    <xf numFmtId="0" fontId="24" fillId="0" borderId="0" xfId="0" applyFont="1" applyAlignment="1">
      <alignment horizontal="left"/>
    </xf>
    <xf numFmtId="0" fontId="5" fillId="0" borderId="0" xfId="0" applyFont="1" applyAlignment="1">
      <alignment horizontal="center" vertical="center"/>
    </xf>
    <xf numFmtId="49" fontId="19" fillId="3" borderId="0" xfId="0" applyNumberFormat="1" applyFont="1" applyFill="1" applyAlignment="1">
      <alignment horizontal="center" vertical="center" wrapText="1"/>
    </xf>
    <xf numFmtId="0" fontId="26" fillId="0" borderId="0" xfId="0" applyFont="1" applyAlignment="1">
      <alignment horizontal="center"/>
    </xf>
    <xf numFmtId="49" fontId="26" fillId="3" borderId="0" xfId="0" applyNumberFormat="1" applyFont="1" applyFill="1" applyAlignment="1">
      <alignment horizontal="left"/>
    </xf>
    <xf numFmtId="0" fontId="5" fillId="3" borderId="0" xfId="0" applyFont="1" applyFill="1" applyAlignment="1">
      <alignment horizontal="center" vertical="center"/>
    </xf>
    <xf numFmtId="0" fontId="24" fillId="3" borderId="0" xfId="0" applyFont="1" applyFill="1" applyAlignment="1">
      <alignment horizontal="left"/>
    </xf>
    <xf numFmtId="0" fontId="26" fillId="3" borderId="0" xfId="0" applyFont="1" applyFill="1" applyAlignment="1">
      <alignment horizontal="center"/>
    </xf>
    <xf numFmtId="49" fontId="24" fillId="3" borderId="0" xfId="0" applyNumberFormat="1" applyFont="1" applyFill="1" applyAlignment="1">
      <alignment vertical="center"/>
    </xf>
    <xf numFmtId="0" fontId="24" fillId="0" borderId="0" xfId="0" applyFont="1"/>
    <xf numFmtId="49" fontId="10" fillId="0" borderId="0" xfId="0" applyNumberFormat="1" applyFont="1" applyAlignment="1">
      <alignment horizontal="left"/>
    </xf>
    <xf numFmtId="49" fontId="10" fillId="3" borderId="0" xfId="0" applyNumberFormat="1" applyFont="1" applyFill="1" applyAlignment="1">
      <alignment horizontal="left"/>
    </xf>
    <xf numFmtId="49" fontId="17" fillId="3" borderId="0" xfId="0" applyNumberFormat="1" applyFont="1" applyFill="1" applyAlignment="1">
      <alignment vertical="center" wrapText="1"/>
    </xf>
    <xf numFmtId="49" fontId="10" fillId="3" borderId="0" xfId="0" applyNumberFormat="1" applyFont="1" applyFill="1"/>
    <xf numFmtId="49" fontId="10" fillId="0" borderId="0" xfId="0" applyNumberFormat="1" applyFont="1" applyAlignment="1">
      <alignment horizontal="left" vertical="center"/>
    </xf>
    <xf numFmtId="0" fontId="17" fillId="0" borderId="0" xfId="0" applyFont="1" applyAlignment="1">
      <alignment horizontal="left"/>
    </xf>
    <xf numFmtId="49" fontId="29" fillId="0" borderId="0" xfId="0" applyNumberFormat="1" applyFont="1" applyAlignment="1">
      <alignment horizontal="left" vertical="center" wrapText="1"/>
    </xf>
    <xf numFmtId="0" fontId="16" fillId="3" borderId="0" xfId="0" applyFont="1" applyFill="1"/>
    <xf numFmtId="49" fontId="5" fillId="0" borderId="0" xfId="0" applyNumberFormat="1" applyFont="1" applyAlignment="1">
      <alignment wrapText="1"/>
    </xf>
    <xf numFmtId="49" fontId="35" fillId="3" borderId="0" xfId="0" applyNumberFormat="1" applyFont="1" applyFill="1" applyAlignment="1">
      <alignment horizontal="left" wrapText="1"/>
    </xf>
    <xf numFmtId="49" fontId="17" fillId="0" borderId="0" xfId="0" applyNumberFormat="1" applyFont="1" applyAlignment="1">
      <alignment wrapText="1"/>
    </xf>
    <xf numFmtId="49" fontId="37" fillId="0" borderId="0" xfId="0" applyNumberFormat="1" applyFont="1" applyAlignment="1">
      <alignment vertical="center"/>
    </xf>
    <xf numFmtId="49" fontId="37" fillId="3" borderId="0" xfId="0" applyNumberFormat="1" applyFont="1" applyFill="1" applyAlignment="1">
      <alignment vertical="center"/>
    </xf>
    <xf numFmtId="49" fontId="4" fillId="3" borderId="2" xfId="0" applyNumberFormat="1" applyFont="1" applyFill="1" applyBorder="1" applyAlignment="1">
      <alignment horizontal="left"/>
    </xf>
    <xf numFmtId="49" fontId="37" fillId="0" borderId="2" xfId="0" applyNumberFormat="1" applyFont="1" applyBorder="1" applyAlignment="1">
      <alignment vertical="center"/>
    </xf>
    <xf numFmtId="49" fontId="4" fillId="0" borderId="2" xfId="0" applyNumberFormat="1" applyFont="1" applyBorder="1"/>
    <xf numFmtId="49" fontId="35" fillId="3" borderId="0" xfId="0" applyNumberFormat="1" applyFont="1" applyFill="1" applyAlignment="1">
      <alignment horizontal="left" vertical="top" wrapText="1"/>
    </xf>
    <xf numFmtId="49" fontId="4" fillId="3" borderId="0" xfId="0" applyNumberFormat="1" applyFont="1" applyFill="1" applyAlignment="1">
      <alignment horizontal="left" vertical="center"/>
    </xf>
    <xf numFmtId="0" fontId="37" fillId="0" borderId="0" xfId="0" applyFont="1" applyAlignment="1">
      <alignment vertical="center"/>
    </xf>
    <xf numFmtId="0" fontId="37" fillId="0" borderId="0" xfId="0" applyFont="1"/>
    <xf numFmtId="49" fontId="37" fillId="0" borderId="0" xfId="0" applyNumberFormat="1" applyFont="1" applyAlignment="1">
      <alignment wrapText="1"/>
    </xf>
    <xf numFmtId="49" fontId="27" fillId="0" borderId="0" xfId="0" applyNumberFormat="1" applyFont="1" applyAlignment="1">
      <alignment horizontal="right" wrapText="1"/>
    </xf>
    <xf numFmtId="49" fontId="5" fillId="3" borderId="0" xfId="0" applyNumberFormat="1" applyFont="1" applyFill="1" applyAlignment="1">
      <alignment wrapText="1"/>
    </xf>
    <xf numFmtId="49" fontId="49" fillId="0" borderId="2" xfId="0" applyNumberFormat="1" applyFont="1" applyBorder="1" applyAlignment="1">
      <alignment vertical="center"/>
    </xf>
    <xf numFmtId="0" fontId="10" fillId="0" borderId="0" xfId="0" applyFont="1"/>
    <xf numFmtId="49" fontId="6" fillId="0" borderId="0" xfId="0" applyNumberFormat="1" applyFont="1" applyAlignment="1">
      <alignment horizontal="center" vertical="center"/>
    </xf>
    <xf numFmtId="49" fontId="38" fillId="2" borderId="1" xfId="0" applyNumberFormat="1" applyFont="1" applyFill="1" applyBorder="1" applyAlignment="1" applyProtection="1">
      <alignment horizontal="center" vertical="center"/>
      <protection locked="0"/>
    </xf>
    <xf numFmtId="49" fontId="15" fillId="0" borderId="0" xfId="0" applyNumberFormat="1" applyFont="1" applyAlignment="1">
      <alignment horizontal="left"/>
    </xf>
    <xf numFmtId="0" fontId="0" fillId="0" borderId="0" xfId="0" applyAlignment="1">
      <alignment horizontal="center"/>
    </xf>
    <xf numFmtId="49" fontId="8" fillId="0" borderId="2" xfId="0" applyNumberFormat="1" applyFont="1" applyBorder="1" applyAlignment="1">
      <alignment vertical="center"/>
    </xf>
    <xf numFmtId="49" fontId="8" fillId="0" borderId="0" xfId="0" applyNumberFormat="1" applyFont="1" applyAlignment="1">
      <alignment vertical="center"/>
    </xf>
    <xf numFmtId="49" fontId="38" fillId="0" borderId="0" xfId="0" applyNumberFormat="1" applyFont="1" applyAlignment="1">
      <alignment horizontal="left"/>
    </xf>
    <xf numFmtId="49" fontId="38" fillId="0" borderId="0" xfId="0" quotePrefix="1" applyNumberFormat="1" applyFont="1" applyAlignment="1">
      <alignment horizontal="left" vertical="top" wrapText="1"/>
    </xf>
    <xf numFmtId="49" fontId="38" fillId="0" borderId="0" xfId="0" quotePrefix="1" applyNumberFormat="1" applyFont="1" applyAlignment="1">
      <alignment horizontal="left"/>
    </xf>
    <xf numFmtId="49" fontId="8" fillId="0" borderId="0" xfId="0" applyNumberFormat="1" applyFont="1" applyAlignment="1">
      <alignment horizontal="left"/>
    </xf>
    <xf numFmtId="49" fontId="38" fillId="0" borderId="0" xfId="0" applyNumberFormat="1" applyFont="1" applyAlignment="1">
      <alignment vertical="center"/>
    </xf>
    <xf numFmtId="49" fontId="8" fillId="0" borderId="0" xfId="0" applyNumberFormat="1" applyFont="1" applyAlignment="1">
      <alignment horizontal="center" vertical="center" wrapText="1"/>
    </xf>
    <xf numFmtId="49" fontId="38" fillId="0" borderId="0" xfId="0" applyNumberFormat="1" applyFont="1" applyAlignment="1">
      <alignment horizontal="center" vertical="center" wrapText="1"/>
    </xf>
    <xf numFmtId="49" fontId="38" fillId="0" borderId="0" xfId="0" applyNumberFormat="1" applyFont="1" applyAlignment="1">
      <alignment horizontal="right" vertical="center"/>
    </xf>
    <xf numFmtId="49" fontId="8" fillId="0" borderId="0" xfId="0" applyNumberFormat="1" applyFont="1" applyAlignment="1">
      <alignment horizontal="right" vertical="center"/>
    </xf>
    <xf numFmtId="49" fontId="8" fillId="0" borderId="0" xfId="0" applyNumberFormat="1" applyFont="1" applyAlignment="1">
      <alignment horizontal="center" vertical="center"/>
    </xf>
    <xf numFmtId="49" fontId="38" fillId="0" borderId="0" xfId="0" applyNumberFormat="1" applyFont="1" applyAlignment="1">
      <alignment horizontal="center" vertical="center"/>
    </xf>
    <xf numFmtId="49" fontId="36" fillId="0" borderId="0" xfId="0" applyNumberFormat="1" applyFont="1" applyAlignment="1">
      <alignment horizontal="center"/>
    </xf>
    <xf numFmtId="0" fontId="36" fillId="0" borderId="0" xfId="0" applyFont="1" applyAlignment="1">
      <alignment horizontal="center"/>
    </xf>
    <xf numFmtId="49" fontId="38" fillId="3" borderId="0" xfId="0" applyNumberFormat="1" applyFont="1" applyFill="1" applyAlignment="1">
      <alignment vertical="center"/>
    </xf>
    <xf numFmtId="49" fontId="14" fillId="2" borderId="0" xfId="0" applyNumberFormat="1" applyFont="1" applyFill="1" applyAlignment="1" applyProtection="1">
      <alignment horizontal="left"/>
      <protection locked="0"/>
    </xf>
    <xf numFmtId="49" fontId="8" fillId="0" borderId="0" xfId="0" applyNumberFormat="1" applyFont="1" applyAlignment="1">
      <alignment horizontal="left" vertical="center"/>
    </xf>
    <xf numFmtId="49" fontId="39" fillId="2" borderId="1" xfId="0" applyNumberFormat="1" applyFont="1" applyFill="1" applyBorder="1" applyAlignment="1">
      <alignment horizontal="center" vertical="center"/>
    </xf>
    <xf numFmtId="0" fontId="16" fillId="0" borderId="0" xfId="0" applyFont="1" applyAlignment="1">
      <alignment horizontal="center"/>
    </xf>
    <xf numFmtId="49" fontId="8" fillId="2" borderId="0" xfId="0" applyNumberFormat="1" applyFont="1" applyFill="1" applyAlignment="1">
      <alignment horizontal="center" vertical="center"/>
    </xf>
    <xf numFmtId="0" fontId="51" fillId="0" borderId="0" xfId="0" applyFont="1" applyAlignment="1">
      <alignment horizontal="left" vertical="center"/>
    </xf>
    <xf numFmtId="0" fontId="52" fillId="0" borderId="0" xfId="0" applyFont="1" applyAlignment="1">
      <alignment horizontal="center" vertical="center"/>
    </xf>
    <xf numFmtId="0" fontId="52" fillId="0" borderId="0" xfId="0" applyFont="1" applyAlignment="1">
      <alignment vertical="center"/>
    </xf>
    <xf numFmtId="0" fontId="50" fillId="0" borderId="0" xfId="0" applyFont="1" applyAlignment="1">
      <alignment horizontal="right" vertical="center"/>
    </xf>
    <xf numFmtId="0" fontId="53" fillId="0" borderId="0" xfId="0" applyFont="1" applyAlignment="1">
      <alignment horizontal="left" vertical="center"/>
    </xf>
    <xf numFmtId="0" fontId="55" fillId="4" borderId="0" xfId="0" applyFont="1" applyFill="1" applyAlignment="1">
      <alignment horizontal="center" vertical="center"/>
    </xf>
    <xf numFmtId="0" fontId="56" fillId="0" borderId="0" xfId="0" applyFont="1" applyAlignment="1">
      <alignment vertical="center"/>
    </xf>
    <xf numFmtId="0" fontId="57" fillId="0" borderId="0" xfId="0" applyFont="1" applyAlignment="1">
      <alignment horizontal="center" vertical="center"/>
    </xf>
    <xf numFmtId="0" fontId="57" fillId="0" borderId="0" xfId="0" applyFont="1" applyAlignment="1">
      <alignment horizontal="center" vertical="center" wrapText="1"/>
    </xf>
    <xf numFmtId="0" fontId="52" fillId="0" borderId="1" xfId="0" applyFont="1" applyBorder="1" applyAlignment="1">
      <alignment horizontal="center" vertical="center"/>
    </xf>
    <xf numFmtId="43" fontId="52" fillId="0" borderId="1" xfId="2" applyFont="1" applyBorder="1" applyAlignment="1">
      <alignment vertical="center"/>
    </xf>
    <xf numFmtId="43" fontId="52" fillId="2" borderId="1" xfId="2" applyFont="1" applyFill="1" applyBorder="1" applyAlignment="1" applyProtection="1">
      <alignment vertical="center"/>
      <protection locked="0"/>
    </xf>
    <xf numFmtId="0" fontId="57" fillId="2" borderId="1" xfId="0" applyFont="1" applyFill="1" applyBorder="1" applyAlignment="1" applyProtection="1">
      <alignment vertical="center"/>
      <protection locked="0"/>
    </xf>
    <xf numFmtId="0" fontId="52" fillId="2" borderId="1" xfId="0" applyFont="1" applyFill="1" applyBorder="1" applyAlignment="1" applyProtection="1">
      <alignment vertical="center"/>
      <protection locked="0"/>
    </xf>
    <xf numFmtId="0" fontId="52" fillId="0" borderId="0" xfId="0" applyFont="1" applyAlignment="1">
      <alignment horizontal="right" vertical="center"/>
    </xf>
    <xf numFmtId="43" fontId="52" fillId="0" borderId="0" xfId="2" applyFont="1" applyBorder="1" applyAlignment="1">
      <alignment vertical="center"/>
    </xf>
    <xf numFmtId="0" fontId="52" fillId="0" borderId="0" xfId="0" applyFont="1" applyAlignment="1">
      <alignment horizontal="center" vertical="center" wrapText="1"/>
    </xf>
    <xf numFmtId="0" fontId="61" fillId="0" borderId="0" xfId="0" applyFont="1" applyAlignment="1">
      <alignment horizontal="right" vertical="center"/>
    </xf>
    <xf numFmtId="0" fontId="53" fillId="2" borderId="1" xfId="0" applyFont="1" applyFill="1" applyBorder="1" applyAlignment="1" applyProtection="1">
      <alignment horizontal="center" vertical="center"/>
      <protection locked="0"/>
    </xf>
    <xf numFmtId="165" fontId="52" fillId="0" borderId="1" xfId="0" applyNumberFormat="1" applyFont="1" applyBorder="1" applyAlignment="1">
      <alignment vertical="center"/>
    </xf>
    <xf numFmtId="43" fontId="52" fillId="0" borderId="1" xfId="2" applyFont="1" applyBorder="1" applyAlignment="1">
      <alignment horizontal="right" vertical="center"/>
    </xf>
    <xf numFmtId="170" fontId="52" fillId="0" borderId="0" xfId="0" applyNumberFormat="1" applyFont="1" applyAlignment="1">
      <alignment vertical="center"/>
    </xf>
    <xf numFmtId="0" fontId="53" fillId="0" borderId="1" xfId="0" applyFont="1" applyBorder="1" applyAlignment="1">
      <alignment horizontal="center" vertical="center"/>
    </xf>
    <xf numFmtId="171" fontId="52" fillId="0" borderId="1" xfId="0" applyNumberFormat="1" applyFont="1" applyBorder="1" applyAlignment="1">
      <alignment vertical="center"/>
    </xf>
    <xf numFmtId="0" fontId="53" fillId="0" borderId="0" xfId="0" applyFont="1" applyAlignment="1">
      <alignment vertical="center"/>
    </xf>
    <xf numFmtId="0" fontId="46" fillId="0" borderId="0" xfId="0" applyFont="1" applyAlignment="1">
      <alignment horizontal="center" vertical="center"/>
    </xf>
    <xf numFmtId="0" fontId="38" fillId="0" borderId="0" xfId="0" applyFont="1" applyAlignment="1">
      <alignment horizontal="center"/>
    </xf>
    <xf numFmtId="14" fontId="55" fillId="4" borderId="0" xfId="0" applyNumberFormat="1" applyFont="1" applyFill="1" applyAlignment="1">
      <alignment horizontal="center" vertical="center"/>
    </xf>
    <xf numFmtId="49" fontId="60" fillId="0" borderId="0" xfId="0" applyNumberFormat="1" applyFont="1" applyAlignment="1">
      <alignment horizontal="center" vertical="center"/>
    </xf>
    <xf numFmtId="43" fontId="52" fillId="0" borderId="1" xfId="2" applyFont="1" applyBorder="1" applyAlignment="1">
      <alignment horizontal="center" vertical="center"/>
    </xf>
    <xf numFmtId="43" fontId="52" fillId="2" borderId="1" xfId="2" applyFont="1" applyFill="1" applyBorder="1" applyAlignment="1" applyProtection="1">
      <alignment horizontal="center" vertical="center"/>
      <protection locked="0"/>
    </xf>
    <xf numFmtId="0" fontId="52" fillId="2" borderId="1" xfId="0" applyFont="1" applyFill="1" applyBorder="1" applyAlignment="1" applyProtection="1">
      <alignment horizontal="center" vertical="center"/>
      <protection locked="0"/>
    </xf>
    <xf numFmtId="169" fontId="52" fillId="0" borderId="1" xfId="2" applyNumberFormat="1" applyFont="1" applyBorder="1" applyAlignment="1">
      <alignment horizontal="center" vertical="center"/>
    </xf>
    <xf numFmtId="49" fontId="14" fillId="2" borderId="0" xfId="0" applyNumberFormat="1" applyFont="1" applyFill="1" applyAlignment="1">
      <alignment horizontal="left"/>
    </xf>
    <xf numFmtId="49" fontId="16" fillId="0" borderId="0" xfId="0" applyNumberFormat="1" applyFont="1" applyAlignment="1">
      <alignment horizontal="left" vertical="center"/>
    </xf>
    <xf numFmtId="49" fontId="38" fillId="2" borderId="0" xfId="0" applyNumberFormat="1" applyFont="1" applyFill="1" applyAlignment="1" applyProtection="1">
      <alignment horizontal="left" vertical="center"/>
      <protection locked="0"/>
    </xf>
    <xf numFmtId="49" fontId="29" fillId="0" borderId="0" xfId="0" applyNumberFormat="1" applyFont="1" applyAlignment="1">
      <alignment horizontal="center" vertical="center"/>
    </xf>
    <xf numFmtId="49" fontId="23" fillId="0" borderId="0" xfId="0" applyNumberFormat="1" applyFont="1" applyAlignment="1">
      <alignment horizontal="center" vertical="center"/>
    </xf>
    <xf numFmtId="49" fontId="17" fillId="0" borderId="0" xfId="0" applyNumberFormat="1" applyFont="1" applyAlignment="1">
      <alignment horizontal="center" vertical="center"/>
    </xf>
    <xf numFmtId="0" fontId="73" fillId="0" borderId="0" xfId="0" applyFont="1"/>
    <xf numFmtId="0" fontId="73" fillId="0" borderId="0" xfId="0" applyFont="1" applyAlignment="1">
      <alignment horizontal="center"/>
    </xf>
    <xf numFmtId="0" fontId="73" fillId="0" borderId="0" xfId="0" applyFont="1" applyAlignment="1">
      <alignment vertical="center"/>
    </xf>
    <xf numFmtId="43" fontId="73" fillId="0" borderId="1" xfId="2" applyFont="1" applyBorder="1" applyAlignment="1">
      <alignment horizontal="right" vertical="center"/>
    </xf>
    <xf numFmtId="0" fontId="73" fillId="0" borderId="0" xfId="0" applyFont="1" applyAlignment="1">
      <alignment horizontal="center" vertical="center"/>
    </xf>
    <xf numFmtId="43" fontId="73" fillId="0" borderId="0" xfId="2" applyFont="1" applyBorder="1" applyAlignment="1">
      <alignment horizontal="right" vertical="center"/>
    </xf>
    <xf numFmtId="0" fontId="73" fillId="0" borderId="0" xfId="0" applyFont="1" applyAlignment="1">
      <alignment wrapText="1"/>
    </xf>
    <xf numFmtId="0" fontId="73" fillId="0" borderId="1" xfId="0" applyFont="1" applyBorder="1" applyAlignment="1">
      <alignment horizontal="center" vertical="center" wrapText="1"/>
    </xf>
    <xf numFmtId="0" fontId="73" fillId="0" borderId="1" xfId="0" applyFont="1" applyBorder="1" applyAlignment="1">
      <alignment vertical="center"/>
    </xf>
    <xf numFmtId="43" fontId="73" fillId="0" borderId="1" xfId="0" applyNumberFormat="1" applyFont="1" applyBorder="1" applyAlignment="1">
      <alignment vertical="center"/>
    </xf>
    <xf numFmtId="43" fontId="73" fillId="0" borderId="1" xfId="2" applyFont="1" applyBorder="1" applyAlignment="1">
      <alignment horizontal="center" vertical="center"/>
    </xf>
    <xf numFmtId="43" fontId="73" fillId="7" borderId="1" xfId="0" applyNumberFormat="1" applyFont="1" applyFill="1" applyBorder="1" applyAlignment="1" applyProtection="1">
      <alignment vertical="center"/>
      <protection locked="0"/>
    </xf>
    <xf numFmtId="9" fontId="73" fillId="0" borderId="1" xfId="5" applyFont="1" applyBorder="1" applyAlignment="1">
      <alignment horizontal="center" vertical="center"/>
    </xf>
    <xf numFmtId="43" fontId="73" fillId="0" borderId="0" xfId="2" applyFont="1" applyBorder="1" applyAlignment="1">
      <alignment horizontal="center" vertical="center"/>
    </xf>
    <xf numFmtId="0" fontId="73" fillId="0" borderId="1" xfId="0" applyFont="1" applyBorder="1" applyAlignment="1">
      <alignment horizontal="right" vertical="center"/>
    </xf>
    <xf numFmtId="0" fontId="73" fillId="0" borderId="1" xfId="0" applyFont="1" applyBorder="1" applyAlignment="1">
      <alignment horizontal="center" vertical="center"/>
    </xf>
    <xf numFmtId="43" fontId="73" fillId="0" borderId="1" xfId="0" applyNumberFormat="1" applyFont="1" applyBorder="1" applyAlignment="1">
      <alignment horizontal="center" vertical="center"/>
    </xf>
    <xf numFmtId="43" fontId="73" fillId="0" borderId="1" xfId="2" applyFont="1" applyBorder="1" applyAlignment="1">
      <alignment vertical="center"/>
    </xf>
    <xf numFmtId="43" fontId="74" fillId="0" borderId="1" xfId="2" applyFont="1" applyBorder="1" applyAlignment="1">
      <alignment vertical="center"/>
    </xf>
    <xf numFmtId="43" fontId="73" fillId="0" borderId="0" xfId="2" applyFont="1" applyBorder="1" applyAlignment="1">
      <alignment vertical="center"/>
    </xf>
    <xf numFmtId="0" fontId="8" fillId="0" borderId="0" xfId="0" applyFont="1"/>
    <xf numFmtId="0" fontId="15" fillId="3" borderId="0" xfId="0" applyFont="1" applyFill="1" applyAlignment="1">
      <alignment vertical="center"/>
    </xf>
    <xf numFmtId="49" fontId="17" fillId="0" borderId="0" xfId="0" applyNumberFormat="1" applyFont="1" applyAlignment="1">
      <alignment horizontal="left" vertical="center"/>
    </xf>
    <xf numFmtId="49" fontId="14" fillId="0" borderId="0" xfId="0" applyNumberFormat="1" applyFont="1" applyAlignment="1">
      <alignment horizontal="left" vertical="center"/>
    </xf>
    <xf numFmtId="49" fontId="43" fillId="3" borderId="0" xfId="0" applyNumberFormat="1" applyFont="1" applyFill="1" applyAlignment="1">
      <alignment horizontal="left" vertical="top" wrapText="1"/>
    </xf>
    <xf numFmtId="49" fontId="32" fillId="3" borderId="0" xfId="0" applyNumberFormat="1" applyFont="1" applyFill="1" applyAlignment="1">
      <alignment horizontal="left" vertical="top" wrapText="1"/>
    </xf>
    <xf numFmtId="49" fontId="35" fillId="0" borderId="0" xfId="0" applyNumberFormat="1" applyFont="1" applyAlignment="1">
      <alignment horizontal="left" vertical="top" wrapText="1"/>
    </xf>
    <xf numFmtId="49" fontId="23" fillId="3" borderId="0" xfId="0" applyNumberFormat="1" applyFont="1" applyFill="1" applyAlignment="1">
      <alignment horizontal="left" wrapText="1"/>
    </xf>
    <xf numFmtId="49" fontId="28" fillId="0" borderId="2" xfId="0" applyNumberFormat="1" applyFont="1" applyBorder="1" applyAlignment="1">
      <alignment vertical="center"/>
    </xf>
    <xf numFmtId="49" fontId="9" fillId="0" borderId="2" xfId="0" applyNumberFormat="1" applyFont="1" applyBorder="1"/>
    <xf numFmtId="49" fontId="28" fillId="3" borderId="0" xfId="0" applyNumberFormat="1" applyFont="1" applyFill="1" applyAlignment="1">
      <alignment vertical="center"/>
    </xf>
    <xf numFmtId="49" fontId="28" fillId="0" borderId="0" xfId="0" applyNumberFormat="1" applyFont="1" applyAlignment="1">
      <alignment wrapText="1"/>
    </xf>
    <xf numFmtId="49" fontId="9" fillId="3" borderId="0" xfId="0" applyNumberFormat="1" applyFont="1" applyFill="1" applyAlignment="1">
      <alignment horizontal="left" vertical="center"/>
    </xf>
    <xf numFmtId="0" fontId="28" fillId="0" borderId="0" xfId="0" applyFont="1"/>
    <xf numFmtId="49" fontId="33" fillId="3" borderId="0" xfId="0" applyNumberFormat="1" applyFont="1" applyFill="1" applyAlignment="1">
      <alignment horizontal="left" wrapText="1"/>
    </xf>
    <xf numFmtId="49" fontId="15" fillId="0" borderId="0" xfId="0" applyNumberFormat="1" applyFont="1" applyAlignment="1">
      <alignment wrapText="1"/>
    </xf>
    <xf numFmtId="49" fontId="23" fillId="3" borderId="0" xfId="0" applyNumberFormat="1" applyFont="1" applyFill="1" applyAlignment="1">
      <alignment horizontal="left" vertical="top" wrapText="1"/>
    </xf>
    <xf numFmtId="0" fontId="75" fillId="0" borderId="3" xfId="0" applyFont="1" applyBorder="1" applyAlignment="1">
      <alignment horizontal="center" vertical="top" wrapText="1"/>
    </xf>
    <xf numFmtId="0" fontId="75" fillId="0" borderId="4" xfId="0" applyFont="1" applyBorder="1" applyAlignment="1">
      <alignment horizontal="center" vertical="top" wrapText="1"/>
    </xf>
    <xf numFmtId="49" fontId="62" fillId="0" borderId="2" xfId="0" applyNumberFormat="1" applyFont="1" applyBorder="1" applyAlignment="1">
      <alignment vertical="center"/>
    </xf>
    <xf numFmtId="49" fontId="45" fillId="0" borderId="2" xfId="0" applyNumberFormat="1" applyFont="1" applyBorder="1"/>
    <xf numFmtId="49" fontId="62" fillId="0" borderId="0" xfId="0" applyNumberFormat="1" applyFont="1" applyAlignment="1">
      <alignment vertical="center"/>
    </xf>
    <xf numFmtId="49" fontId="62" fillId="3" borderId="0" xfId="0" applyNumberFormat="1" applyFont="1" applyFill="1" applyAlignment="1">
      <alignment vertical="center"/>
    </xf>
    <xf numFmtId="49" fontId="27" fillId="0" borderId="0" xfId="0" applyNumberFormat="1" applyFont="1" applyAlignment="1">
      <alignment horizontal="center" wrapText="1"/>
    </xf>
    <xf numFmtId="49" fontId="23" fillId="0" borderId="0" xfId="0" applyNumberFormat="1" applyFont="1" applyAlignment="1">
      <alignment horizontal="left" wrapText="1"/>
    </xf>
    <xf numFmtId="14" fontId="17" fillId="2" borderId="1" xfId="0" applyNumberFormat="1" applyFont="1" applyFill="1" applyBorder="1" applyAlignment="1" applyProtection="1">
      <alignment horizontal="center" wrapText="1"/>
      <protection locked="0"/>
    </xf>
    <xf numFmtId="49" fontId="5" fillId="2" borderId="1" xfId="0" applyNumberFormat="1" applyFont="1" applyFill="1" applyBorder="1" applyAlignment="1" applyProtection="1">
      <alignment wrapText="1"/>
      <protection locked="0"/>
    </xf>
    <xf numFmtId="0" fontId="17" fillId="0" borderId="0" xfId="0" applyFont="1" applyAlignment="1">
      <alignment horizontal="center" vertical="center" wrapText="1"/>
    </xf>
    <xf numFmtId="0" fontId="24" fillId="0" borderId="0" xfId="0" applyFont="1" applyAlignment="1">
      <alignment horizontal="center"/>
    </xf>
    <xf numFmtId="49" fontId="63" fillId="0" borderId="0" xfId="0" applyNumberFormat="1" applyFont="1" applyAlignment="1">
      <alignment horizontal="center" vertical="center"/>
    </xf>
    <xf numFmtId="0" fontId="16" fillId="0" borderId="1" xfId="0" applyFont="1" applyBorder="1" applyAlignment="1">
      <alignment horizontal="center" vertical="center"/>
    </xf>
    <xf numFmtId="0" fontId="76" fillId="0" borderId="1" xfId="0" applyFont="1" applyBorder="1" applyAlignment="1">
      <alignment horizontal="center" vertical="center" wrapText="1"/>
    </xf>
    <xf numFmtId="9" fontId="73" fillId="0" borderId="0" xfId="5" applyFont="1" applyBorder="1" applyAlignment="1">
      <alignment horizontal="center" vertical="center"/>
    </xf>
    <xf numFmtId="168" fontId="73" fillId="0" borderId="0" xfId="5" applyNumberFormat="1" applyFont="1" applyBorder="1" applyAlignment="1" applyProtection="1">
      <alignment horizontal="center" vertical="center"/>
      <protection locked="0"/>
    </xf>
    <xf numFmtId="43" fontId="46" fillId="0" borderId="0" xfId="2" applyFont="1" applyBorder="1" applyAlignment="1">
      <alignment vertical="center"/>
    </xf>
    <xf numFmtId="43" fontId="46" fillId="0" borderId="0" xfId="2" applyFont="1" applyFill="1" applyBorder="1" applyAlignment="1">
      <alignment vertical="center"/>
    </xf>
    <xf numFmtId="0" fontId="77" fillId="0" borderId="0" xfId="0" applyFont="1" applyAlignment="1">
      <alignment horizontal="center" vertical="top"/>
    </xf>
    <xf numFmtId="49" fontId="16" fillId="8" borderId="1" xfId="0" applyNumberFormat="1" applyFont="1" applyFill="1" applyBorder="1" applyAlignment="1" applyProtection="1">
      <alignment horizontal="center" vertical="center"/>
      <protection locked="0"/>
    </xf>
    <xf numFmtId="0" fontId="14" fillId="2" borderId="0" xfId="0" applyFont="1" applyFill="1" applyAlignment="1" applyProtection="1">
      <alignment horizontal="left"/>
      <protection locked="0"/>
    </xf>
    <xf numFmtId="0" fontId="78" fillId="0" borderId="1" xfId="0" applyFont="1" applyBorder="1" applyAlignment="1">
      <alignment horizontal="center" vertical="center" wrapText="1"/>
    </xf>
    <xf numFmtId="0" fontId="77" fillId="8" borderId="1" xfId="0" applyFont="1" applyFill="1" applyBorder="1" applyAlignment="1" applyProtection="1">
      <alignment horizontal="center" vertical="center" wrapText="1"/>
      <protection locked="0"/>
    </xf>
    <xf numFmtId="9" fontId="73" fillId="0" borderId="1" xfId="5" applyFont="1" applyBorder="1" applyAlignment="1">
      <alignment horizontal="center" vertical="center" wrapText="1"/>
    </xf>
    <xf numFmtId="0" fontId="76" fillId="0" borderId="1" xfId="0" applyFont="1" applyBorder="1" applyAlignment="1">
      <alignment vertical="center"/>
    </xf>
    <xf numFmtId="0" fontId="78" fillId="0" borderId="1" xfId="0" applyFont="1" applyBorder="1" applyAlignment="1">
      <alignment horizontal="center" vertical="center"/>
    </xf>
    <xf numFmtId="0" fontId="50" fillId="0" borderId="0" xfId="0" applyFont="1" applyAlignment="1">
      <alignment horizontal="left" vertical="center"/>
    </xf>
    <xf numFmtId="9" fontId="38" fillId="3" borderId="0" xfId="5" applyFont="1" applyFill="1" applyBorder="1" applyAlignment="1" applyProtection="1">
      <alignment vertical="center"/>
    </xf>
    <xf numFmtId="166" fontId="38" fillId="3" borderId="0" xfId="0" applyNumberFormat="1" applyFont="1" applyFill="1" applyAlignment="1">
      <alignment vertical="center" wrapText="1"/>
    </xf>
    <xf numFmtId="166" fontId="15" fillId="0" borderId="0" xfId="0" applyNumberFormat="1" applyFont="1"/>
    <xf numFmtId="2" fontId="15" fillId="3" borderId="0" xfId="0" applyNumberFormat="1" applyFont="1" applyFill="1" applyAlignment="1">
      <alignment vertical="center"/>
    </xf>
    <xf numFmtId="166" fontId="15" fillId="3" borderId="0" xfId="0" applyNumberFormat="1" applyFont="1" applyFill="1"/>
    <xf numFmtId="0" fontId="38" fillId="3" borderId="0" xfId="0" applyFont="1" applyFill="1" applyAlignment="1">
      <alignment vertical="center" wrapText="1"/>
    </xf>
    <xf numFmtId="0" fontId="8" fillId="3" borderId="0" xfId="0" applyFont="1" applyFill="1" applyAlignment="1">
      <alignment vertical="center"/>
    </xf>
    <xf numFmtId="0" fontId="38" fillId="3" borderId="0" xfId="0" applyFont="1" applyFill="1" applyAlignment="1">
      <alignment vertical="center"/>
    </xf>
    <xf numFmtId="49" fontId="38" fillId="3" borderId="0" xfId="0" applyNumberFormat="1" applyFont="1" applyFill="1" applyAlignment="1">
      <alignment horizontal="left" vertical="center" wrapText="1"/>
    </xf>
    <xf numFmtId="49" fontId="38" fillId="3" borderId="0" xfId="0" applyNumberFormat="1" applyFont="1" applyFill="1" applyAlignment="1">
      <alignment vertical="center" wrapText="1"/>
    </xf>
    <xf numFmtId="0" fontId="8" fillId="0" borderId="0" xfId="0" applyFont="1" applyAlignment="1">
      <alignment vertical="center"/>
    </xf>
    <xf numFmtId="0" fontId="38" fillId="0" borderId="0" xfId="0" applyFont="1" applyAlignment="1">
      <alignment vertical="center"/>
    </xf>
    <xf numFmtId="0" fontId="38" fillId="0" borderId="0" xfId="0" applyFont="1" applyAlignment="1">
      <alignment vertical="center" wrapText="1"/>
    </xf>
    <xf numFmtId="0" fontId="38" fillId="0" borderId="0" xfId="0" applyFont="1"/>
    <xf numFmtId="0" fontId="17" fillId="0" borderId="0" xfId="0" applyFont="1" applyAlignment="1">
      <alignment vertical="center" wrapText="1"/>
    </xf>
    <xf numFmtId="49" fontId="16" fillId="0" borderId="0" xfId="0" quotePrefix="1" applyNumberFormat="1" applyFont="1" applyAlignment="1">
      <alignment horizontal="left" vertical="top"/>
    </xf>
    <xf numFmtId="49" fontId="19" fillId="3" borderId="0" xfId="0" applyNumberFormat="1" applyFont="1" applyFill="1" applyAlignment="1">
      <alignment horizontal="center" vertical="top" wrapText="1"/>
    </xf>
    <xf numFmtId="49" fontId="16" fillId="3" borderId="0" xfId="0" applyNumberFormat="1" applyFont="1" applyFill="1" applyAlignment="1">
      <alignment horizontal="left" vertical="top"/>
    </xf>
    <xf numFmtId="0" fontId="5" fillId="3" borderId="0" xfId="0" applyFont="1" applyFill="1" applyAlignment="1">
      <alignment horizontal="left" vertical="top"/>
    </xf>
    <xf numFmtId="0" fontId="16" fillId="3" borderId="0" xfId="0" applyFont="1" applyFill="1" applyAlignment="1">
      <alignment horizontal="center" vertical="top"/>
    </xf>
    <xf numFmtId="0" fontId="5" fillId="0" borderId="0" xfId="0" applyFont="1" applyAlignment="1">
      <alignment horizontal="left"/>
    </xf>
    <xf numFmtId="0" fontId="3" fillId="0" borderId="0" xfId="0" applyFont="1"/>
    <xf numFmtId="0" fontId="38" fillId="0" borderId="1" xfId="0" applyFont="1" applyBorder="1" applyAlignment="1">
      <alignment horizontal="center" vertical="center" wrapText="1"/>
    </xf>
    <xf numFmtId="0" fontId="58" fillId="3" borderId="6" xfId="0" applyFont="1" applyFill="1" applyBorder="1" applyAlignment="1">
      <alignment horizontal="left" vertical="top" wrapText="1"/>
    </xf>
    <xf numFmtId="49" fontId="5" fillId="2" borderId="7" xfId="0" applyNumberFormat="1" applyFont="1" applyFill="1" applyBorder="1" applyAlignment="1" applyProtection="1">
      <alignment horizontal="center"/>
      <protection locked="0"/>
    </xf>
    <xf numFmtId="0" fontId="76" fillId="0" borderId="1" xfId="0" applyFont="1" applyBorder="1" applyAlignment="1">
      <alignment horizontal="center" vertical="center"/>
    </xf>
    <xf numFmtId="49" fontId="5" fillId="0" borderId="0" xfId="0" applyNumberFormat="1" applyFont="1" applyAlignment="1">
      <alignment horizontal="center" vertical="center" wrapText="1"/>
    </xf>
    <xf numFmtId="49" fontId="16" fillId="0" borderId="0" xfId="0" applyNumberFormat="1" applyFont="1" applyAlignment="1">
      <alignment horizontal="center" vertical="center" wrapText="1"/>
    </xf>
    <xf numFmtId="49" fontId="16" fillId="0" borderId="0" xfId="0" applyNumberFormat="1" applyFont="1" applyAlignment="1">
      <alignment horizontal="right"/>
    </xf>
    <xf numFmtId="49" fontId="38" fillId="10" borderId="0" xfId="0" applyNumberFormat="1" applyFont="1" applyFill="1"/>
    <xf numFmtId="49" fontId="16" fillId="0" borderId="2" xfId="0" applyNumberFormat="1" applyFont="1" applyBorder="1" applyAlignment="1">
      <alignment horizontal="left"/>
    </xf>
    <xf numFmtId="49" fontId="16" fillId="0" borderId="2" xfId="0" applyNumberFormat="1" applyFont="1" applyBorder="1"/>
    <xf numFmtId="49" fontId="5" fillId="0" borderId="0" xfId="0" applyNumberFormat="1" applyFont="1" applyAlignment="1">
      <alignment horizontal="right" vertical="center"/>
    </xf>
    <xf numFmtId="49" fontId="5" fillId="0" borderId="0" xfId="0" applyNumberFormat="1" applyFont="1" applyAlignment="1">
      <alignment horizontal="center" vertical="center"/>
    </xf>
    <xf numFmtId="0" fontId="41" fillId="0" borderId="0" xfId="0" applyFont="1" applyAlignment="1">
      <alignment horizontal="right" vertical="center"/>
    </xf>
    <xf numFmtId="0" fontId="76" fillId="0" borderId="0" xfId="4" applyFont="1" applyAlignment="1">
      <alignment vertical="center"/>
    </xf>
    <xf numFmtId="0" fontId="76" fillId="0" borderId="0" xfId="4" applyFont="1" applyAlignment="1">
      <alignment horizontal="center" vertical="center"/>
    </xf>
    <xf numFmtId="43" fontId="76" fillId="0" borderId="0" xfId="2" applyFont="1" applyAlignment="1">
      <alignment vertical="center"/>
    </xf>
    <xf numFmtId="49" fontId="66" fillId="3" borderId="0" xfId="0" applyNumberFormat="1" applyFont="1" applyFill="1" applyAlignment="1">
      <alignment horizontal="left" vertical="center"/>
    </xf>
    <xf numFmtId="49" fontId="67" fillId="3" borderId="0" xfId="0" applyNumberFormat="1" applyFont="1" applyFill="1" applyAlignment="1">
      <alignment horizontal="center" vertical="center"/>
    </xf>
    <xf numFmtId="0" fontId="57" fillId="0" borderId="0" xfId="4" applyFont="1" applyAlignment="1">
      <alignment horizontal="center" vertical="center"/>
    </xf>
    <xf numFmtId="43" fontId="67" fillId="3" borderId="0" xfId="2" applyFont="1" applyFill="1" applyBorder="1" applyAlignment="1" applyProtection="1">
      <alignment horizontal="right" vertical="center"/>
    </xf>
    <xf numFmtId="43" fontId="57" fillId="0" borderId="0" xfId="2" applyFont="1" applyBorder="1"/>
    <xf numFmtId="0" fontId="16" fillId="0" borderId="0" xfId="0" applyFont="1" applyAlignment="1">
      <alignment vertical="center"/>
    </xf>
    <xf numFmtId="0" fontId="52" fillId="0" borderId="0" xfId="0" applyFont="1" applyAlignment="1" applyProtection="1">
      <alignment vertical="center"/>
      <protection locked="0"/>
    </xf>
    <xf numFmtId="166" fontId="27" fillId="0" borderId="0" xfId="0" applyNumberFormat="1" applyFont="1" applyAlignment="1">
      <alignment vertical="center" wrapText="1"/>
    </xf>
    <xf numFmtId="166" fontId="27" fillId="2" borderId="0" xfId="0" applyNumberFormat="1" applyFont="1" applyFill="1" applyAlignment="1">
      <alignment vertical="center" wrapText="1"/>
    </xf>
    <xf numFmtId="0" fontId="5" fillId="0" borderId="0" xfId="0" applyFont="1" applyAlignment="1">
      <alignment vertical="top"/>
    </xf>
    <xf numFmtId="0" fontId="17" fillId="2" borderId="0" xfId="0" applyFont="1" applyFill="1" applyAlignment="1">
      <alignment vertical="top"/>
    </xf>
    <xf numFmtId="0" fontId="7" fillId="2" borderId="0" xfId="0" applyFont="1" applyFill="1" applyAlignment="1">
      <alignment horizontal="center" vertical="center" wrapText="1"/>
    </xf>
    <xf numFmtId="0" fontId="75" fillId="8" borderId="1" xfId="0" applyFont="1" applyFill="1" applyBorder="1" applyAlignment="1" applyProtection="1">
      <alignment horizontal="center" vertical="center" wrapText="1"/>
      <protection locked="0"/>
    </xf>
    <xf numFmtId="0" fontId="75" fillId="0" borderId="3" xfId="0" applyFont="1" applyBorder="1" applyAlignment="1">
      <alignment horizontal="center" vertical="center" wrapText="1"/>
    </xf>
    <xf numFmtId="0" fontId="75" fillId="0" borderId="4" xfId="0" applyFont="1" applyBorder="1" applyAlignment="1">
      <alignment horizontal="center" vertical="center" wrapText="1"/>
    </xf>
    <xf numFmtId="0" fontId="16" fillId="8" borderId="1" xfId="0" applyFont="1" applyFill="1" applyBorder="1" applyAlignment="1" applyProtection="1">
      <alignment horizontal="center" vertical="center"/>
      <protection locked="0"/>
    </xf>
    <xf numFmtId="49" fontId="43" fillId="0" borderId="0" xfId="0" applyNumberFormat="1" applyFont="1" applyAlignment="1">
      <alignment horizontal="left" vertical="top" wrapText="1"/>
    </xf>
    <xf numFmtId="49" fontId="7" fillId="2" borderId="1" xfId="0" applyNumberFormat="1" applyFont="1" applyFill="1" applyBorder="1" applyAlignment="1" applyProtection="1">
      <alignment horizontal="center" wrapText="1"/>
      <protection locked="0"/>
    </xf>
    <xf numFmtId="49" fontId="7" fillId="0" borderId="0" xfId="0" applyNumberFormat="1" applyFont="1" applyAlignment="1">
      <alignment horizontal="center" wrapText="1"/>
    </xf>
    <xf numFmtId="0" fontId="52" fillId="6" borderId="0" xfId="0" applyFont="1" applyFill="1" applyAlignment="1">
      <alignment vertical="center"/>
    </xf>
    <xf numFmtId="0" fontId="52" fillId="10" borderId="0" xfId="0" applyFont="1" applyFill="1" applyAlignment="1">
      <alignment vertical="center"/>
    </xf>
    <xf numFmtId="43" fontId="52" fillId="0" borderId="1" xfId="2" applyFont="1" applyFill="1" applyBorder="1" applyAlignment="1" applyProtection="1">
      <alignment vertical="center"/>
      <protection locked="0"/>
    </xf>
    <xf numFmtId="0" fontId="69" fillId="11" borderId="20" xfId="0" applyFont="1" applyFill="1" applyBorder="1" applyAlignment="1">
      <alignment vertical="center" wrapText="1"/>
    </xf>
    <xf numFmtId="49" fontId="16" fillId="0" borderId="0" xfId="0" applyNumberFormat="1" applyFont="1" applyAlignment="1">
      <alignment horizontal="right" vertical="center"/>
    </xf>
    <xf numFmtId="0" fontId="52" fillId="0" borderId="1" xfId="2" applyNumberFormat="1" applyFont="1" applyFill="1" applyBorder="1" applyAlignment="1" applyProtection="1">
      <alignment vertical="center"/>
    </xf>
    <xf numFmtId="43" fontId="52" fillId="0" borderId="1" xfId="2" applyFont="1" applyFill="1" applyBorder="1" applyAlignment="1" applyProtection="1">
      <alignment vertical="center"/>
    </xf>
    <xf numFmtId="49" fontId="27" fillId="3" borderId="2" xfId="0" applyNumberFormat="1" applyFont="1" applyFill="1" applyBorder="1" applyAlignment="1">
      <alignment horizontal="left"/>
    </xf>
    <xf numFmtId="43" fontId="32" fillId="3" borderId="1" xfId="2" applyFont="1" applyFill="1" applyBorder="1" applyAlignment="1" applyProtection="1">
      <alignment horizontal="right" vertical="top" wrapText="1"/>
    </xf>
    <xf numFmtId="49" fontId="32" fillId="3" borderId="0" xfId="0" applyNumberFormat="1" applyFont="1" applyFill="1" applyAlignment="1">
      <alignment horizontal="right" vertical="center" wrapText="1"/>
    </xf>
    <xf numFmtId="49" fontId="32" fillId="0" borderId="0" xfId="0" applyNumberFormat="1" applyFont="1" applyAlignment="1">
      <alignment horizontal="left" vertical="top" wrapText="1"/>
    </xf>
    <xf numFmtId="168" fontId="32" fillId="3" borderId="1" xfId="5" applyNumberFormat="1" applyFont="1" applyFill="1" applyBorder="1" applyAlignment="1" applyProtection="1">
      <alignment horizontal="right" vertical="top" wrapText="1"/>
    </xf>
    <xf numFmtId="172" fontId="32" fillId="3" borderId="1" xfId="0" applyNumberFormat="1" applyFont="1" applyFill="1" applyBorder="1" applyAlignment="1">
      <alignment horizontal="left" vertical="top" wrapText="1"/>
    </xf>
    <xf numFmtId="49" fontId="27" fillId="0" borderId="0" xfId="0" applyNumberFormat="1" applyFont="1" applyAlignment="1">
      <alignment horizontal="left" vertical="center"/>
    </xf>
    <xf numFmtId="1" fontId="16" fillId="2" borderId="0" xfId="0" applyNumberFormat="1" applyFont="1" applyFill="1" applyAlignment="1" applyProtection="1">
      <alignment horizontal="center" vertical="center"/>
      <protection locked="0"/>
    </xf>
    <xf numFmtId="1" fontId="55" fillId="4" borderId="0" xfId="0" applyNumberFormat="1" applyFont="1" applyFill="1" applyAlignment="1">
      <alignment horizontal="center" vertical="center"/>
    </xf>
    <xf numFmtId="0" fontId="16" fillId="0" borderId="0" xfId="0" applyFont="1" applyAlignment="1">
      <alignment horizontal="left" vertical="top"/>
    </xf>
    <xf numFmtId="0" fontId="38" fillId="0" borderId="0" xfId="0" applyFont="1" applyAlignment="1">
      <alignment horizontal="left" vertical="top"/>
    </xf>
    <xf numFmtId="0" fontId="52" fillId="8" borderId="1" xfId="0" applyFont="1" applyFill="1" applyBorder="1" applyAlignment="1" applyProtection="1">
      <alignment vertical="center"/>
      <protection locked="0"/>
    </xf>
    <xf numFmtId="0" fontId="73" fillId="0" borderId="1" xfId="0" applyFont="1" applyBorder="1" applyAlignment="1">
      <alignment horizontal="left" vertical="top" wrapText="1"/>
    </xf>
    <xf numFmtId="0" fontId="80" fillId="0" borderId="0" xfId="0" applyFont="1" applyAlignment="1">
      <alignment horizontal="center" vertical="center"/>
    </xf>
    <xf numFmtId="0" fontId="73" fillId="0" borderId="0" xfId="0" applyFont="1" applyAlignment="1">
      <alignment horizontal="left" vertical="center" wrapText="1"/>
    </xf>
    <xf numFmtId="0" fontId="73" fillId="0" borderId="0" xfId="0" applyFont="1" applyAlignment="1">
      <alignment horizontal="left" vertical="top" wrapText="1"/>
    </xf>
    <xf numFmtId="0" fontId="76" fillId="0" borderId="18" xfId="0" applyFont="1" applyBorder="1" applyAlignment="1">
      <alignment horizontal="center" vertical="center"/>
    </xf>
    <xf numFmtId="9" fontId="73" fillId="0" borderId="18" xfId="5" applyFont="1" applyBorder="1" applyAlignment="1">
      <alignment horizontal="center" vertical="center" wrapText="1"/>
    </xf>
    <xf numFmtId="0" fontId="73" fillId="0" borderId="18" xfId="0" applyFont="1" applyBorder="1" applyAlignment="1">
      <alignment horizontal="center" vertical="center" wrapText="1"/>
    </xf>
    <xf numFmtId="0" fontId="73" fillId="0" borderId="4" xfId="0" applyFont="1" applyBorder="1" applyAlignment="1">
      <alignment horizontal="center" vertical="center" wrapText="1"/>
    </xf>
    <xf numFmtId="0" fontId="83" fillId="0" borderId="0" xfId="0" applyFont="1"/>
    <xf numFmtId="0" fontId="83" fillId="7" borderId="0" xfId="0" applyFont="1" applyFill="1"/>
    <xf numFmtId="0" fontId="79" fillId="0" borderId="6" xfId="0" applyFont="1" applyBorder="1" applyAlignment="1">
      <alignment horizontal="center" vertical="center" wrapText="1"/>
    </xf>
    <xf numFmtId="0" fontId="84" fillId="0" borderId="1" xfId="0" applyFont="1" applyBorder="1" applyAlignment="1">
      <alignment horizontal="center" vertical="center" wrapText="1"/>
    </xf>
    <xf numFmtId="0" fontId="79" fillId="0" borderId="1" xfId="0" applyFont="1" applyBorder="1" applyAlignment="1">
      <alignment horizontal="center" vertical="center" wrapText="1"/>
    </xf>
    <xf numFmtId="0" fontId="81" fillId="0" borderId="1" xfId="0" applyFont="1" applyBorder="1" applyAlignment="1">
      <alignment horizontal="center" vertical="center" wrapText="1"/>
    </xf>
    <xf numFmtId="0" fontId="85" fillId="0" borderId="0" xfId="0" applyFont="1" applyAlignment="1">
      <alignment horizontal="center" vertical="center" wrapText="1"/>
    </xf>
    <xf numFmtId="2" fontId="17" fillId="10" borderId="0" xfId="6" applyNumberFormat="1" applyFont="1" applyFill="1" applyBorder="1" applyAlignment="1" applyProtection="1">
      <alignment vertical="center"/>
    </xf>
    <xf numFmtId="2" fontId="86" fillId="10" borderId="0" xfId="6" applyNumberFormat="1" applyFont="1" applyFill="1" applyBorder="1" applyAlignment="1" applyProtection="1">
      <alignment vertical="center"/>
    </xf>
    <xf numFmtId="0" fontId="3" fillId="0" borderId="0" xfId="0" applyFont="1" applyAlignment="1">
      <alignment horizontal="left" vertical="center"/>
    </xf>
    <xf numFmtId="0" fontId="83" fillId="0" borderId="0" xfId="0" applyFont="1" applyAlignment="1">
      <alignment horizontal="left" vertical="center"/>
    </xf>
    <xf numFmtId="0" fontId="3" fillId="9" borderId="0" xfId="0" applyFont="1" applyFill="1"/>
    <xf numFmtId="0" fontId="83" fillId="9" borderId="0" xfId="0" applyFont="1" applyFill="1"/>
    <xf numFmtId="0" fontId="38" fillId="8" borderId="1" xfId="0" applyFont="1" applyFill="1" applyBorder="1" applyAlignment="1" applyProtection="1">
      <alignment horizontal="center" vertical="center" wrapText="1"/>
      <protection locked="0"/>
    </xf>
    <xf numFmtId="0" fontId="38" fillId="0" borderId="0" xfId="0" applyFont="1" applyAlignment="1">
      <alignment horizontal="center" vertical="center" wrapText="1"/>
    </xf>
    <xf numFmtId="0" fontId="89" fillId="0" borderId="0" xfId="0" applyFont="1" applyAlignment="1">
      <alignment horizontal="center" vertical="center" wrapText="1"/>
    </xf>
    <xf numFmtId="2" fontId="16" fillId="0" borderId="0" xfId="2" applyNumberFormat="1" applyFont="1" applyAlignment="1">
      <alignment horizontal="center" vertical="center"/>
    </xf>
    <xf numFmtId="0" fontId="39" fillId="0" borderId="1" xfId="0" applyFont="1" applyBorder="1" applyAlignment="1">
      <alignment horizontal="center" vertical="center"/>
    </xf>
    <xf numFmtId="0" fontId="79" fillId="15" borderId="1" xfId="0" applyFont="1" applyFill="1" applyBorder="1" applyAlignment="1">
      <alignment horizontal="center" vertical="center" wrapText="1"/>
    </xf>
    <xf numFmtId="1" fontId="16" fillId="0" borderId="0" xfId="0" applyNumberFormat="1" applyFont="1" applyAlignment="1">
      <alignment horizontal="center" vertical="center"/>
    </xf>
    <xf numFmtId="1" fontId="14" fillId="0" borderId="1" xfId="2" applyNumberFormat="1" applyFont="1" applyBorder="1" applyAlignment="1">
      <alignment horizontal="center" vertical="center"/>
    </xf>
    <xf numFmtId="0" fontId="73" fillId="0" borderId="0" xfId="0" applyFont="1" applyAlignment="1">
      <alignment horizontal="right" vertical="center"/>
    </xf>
    <xf numFmtId="0" fontId="80" fillId="0" borderId="18" xfId="0" applyFont="1" applyBorder="1" applyAlignment="1">
      <alignment horizontal="center" vertical="center"/>
    </xf>
    <xf numFmtId="0" fontId="76" fillId="0" borderId="18" xfId="0" applyFont="1" applyBorder="1" applyAlignment="1">
      <alignment horizontal="center" vertical="center" wrapText="1"/>
    </xf>
    <xf numFmtId="9" fontId="73" fillId="0" borderId="18" xfId="5" applyFont="1" applyBorder="1" applyAlignment="1">
      <alignment horizontal="center" vertical="center"/>
    </xf>
    <xf numFmtId="43" fontId="73" fillId="0" borderId="18" xfId="2" applyFont="1" applyBorder="1" applyAlignment="1">
      <alignment horizontal="center" vertical="center"/>
    </xf>
    <xf numFmtId="43" fontId="3" fillId="0" borderId="0" xfId="0" applyNumberFormat="1" applyFont="1" applyAlignment="1">
      <alignment horizontal="center"/>
    </xf>
    <xf numFmtId="0" fontId="3" fillId="0" borderId="0" xfId="0" applyFont="1" applyAlignment="1">
      <alignment horizontal="center"/>
    </xf>
    <xf numFmtId="0" fontId="3" fillId="0" borderId="0" xfId="0" applyFont="1" applyAlignment="1">
      <alignment vertical="center" wrapText="1"/>
    </xf>
    <xf numFmtId="0" fontId="85" fillId="0" borderId="0" xfId="0" applyFont="1" applyAlignment="1">
      <alignment vertical="center" wrapText="1"/>
    </xf>
    <xf numFmtId="43" fontId="1" fillId="7" borderId="1" xfId="2" applyFont="1" applyFill="1" applyBorder="1" applyAlignment="1" applyProtection="1">
      <alignment horizontal="center" vertical="center" wrapText="1"/>
      <protection locked="0"/>
    </xf>
    <xf numFmtId="43" fontId="1" fillId="7" borderId="1" xfId="2" applyFont="1" applyFill="1" applyBorder="1" applyAlignment="1" applyProtection="1">
      <alignment horizontal="right" vertical="center"/>
      <protection locked="0"/>
    </xf>
    <xf numFmtId="0" fontId="1" fillId="0" borderId="0" xfId="0" applyFont="1" applyAlignment="1">
      <alignment horizontal="center" vertical="center"/>
    </xf>
    <xf numFmtId="43" fontId="1" fillId="0" borderId="0" xfId="2" applyFont="1" applyBorder="1" applyAlignment="1">
      <alignment horizontal="right" vertical="center"/>
    </xf>
    <xf numFmtId="0" fontId="91" fillId="0" borderId="1" xfId="0" applyFont="1" applyBorder="1" applyAlignment="1">
      <alignment horizontal="center" vertical="center" wrapText="1"/>
    </xf>
    <xf numFmtId="0" fontId="1" fillId="0" borderId="0" xfId="0" applyFont="1" applyAlignment="1">
      <alignment horizontal="right" vertical="center"/>
    </xf>
    <xf numFmtId="2" fontId="8" fillId="10" borderId="1" xfId="0" applyNumberFormat="1" applyFont="1" applyFill="1" applyBorder="1" applyAlignment="1">
      <alignment horizontal="center" vertical="center"/>
    </xf>
    <xf numFmtId="168" fontId="52" fillId="0" borderId="0" xfId="5" applyNumberFormat="1" applyFont="1" applyAlignment="1">
      <alignment vertical="center"/>
    </xf>
    <xf numFmtId="1" fontId="16" fillId="0" borderId="0" xfId="0" applyNumberFormat="1" applyFont="1" applyAlignment="1">
      <alignment horizontal="center"/>
    </xf>
    <xf numFmtId="0" fontId="16" fillId="0" borderId="0" xfId="0" applyFont="1" applyAlignment="1">
      <alignment horizontal="right"/>
    </xf>
    <xf numFmtId="1" fontId="23" fillId="3" borderId="0" xfId="0" applyNumberFormat="1" applyFont="1" applyFill="1" applyAlignment="1">
      <alignment horizontal="center" vertical="top" wrapText="1"/>
    </xf>
    <xf numFmtId="49" fontId="27" fillId="0" borderId="2" xfId="0" applyNumberFormat="1" applyFont="1" applyBorder="1"/>
    <xf numFmtId="44" fontId="45" fillId="0" borderId="2" xfId="7" applyFont="1" applyBorder="1" applyAlignment="1" applyProtection="1">
      <alignment vertical="center"/>
    </xf>
    <xf numFmtId="2" fontId="73" fillId="0" borderId="0" xfId="2" applyNumberFormat="1" applyFont="1" applyAlignment="1">
      <alignment vertical="center" wrapText="1"/>
    </xf>
    <xf numFmtId="0" fontId="1" fillId="0" borderId="18" xfId="0" applyFont="1" applyBorder="1" applyAlignment="1">
      <alignment horizontal="left" vertical="center" wrapText="1"/>
    </xf>
    <xf numFmtId="0" fontId="8" fillId="8" borderId="1" xfId="0" applyFont="1" applyFill="1" applyBorder="1" applyAlignment="1" applyProtection="1">
      <alignment horizontal="center" vertical="center"/>
      <protection locked="0"/>
    </xf>
    <xf numFmtId="0" fontId="8" fillId="8" borderId="1" xfId="0" applyFont="1" applyFill="1" applyBorder="1" applyAlignment="1" applyProtection="1">
      <alignment horizontal="center" vertical="center" wrapText="1"/>
      <protection locked="0"/>
    </xf>
    <xf numFmtId="0" fontId="3" fillId="0" borderId="0" xfId="0" applyFont="1" applyProtection="1">
      <protection locked="0"/>
    </xf>
    <xf numFmtId="49" fontId="16" fillId="0" borderId="0" xfId="0" quotePrefix="1" applyNumberFormat="1" applyFont="1" applyAlignment="1">
      <alignment horizontal="left" vertical="top" wrapText="1"/>
    </xf>
    <xf numFmtId="0" fontId="78" fillId="0" borderId="0" xfId="0" applyFont="1" applyAlignment="1">
      <alignment horizontal="center" vertical="center"/>
    </xf>
    <xf numFmtId="0" fontId="82" fillId="0" borderId="14" xfId="0" applyFont="1" applyBorder="1" applyAlignment="1">
      <alignment horizontal="center" vertical="center" wrapText="1"/>
    </xf>
    <xf numFmtId="49" fontId="14" fillId="0" borderId="0" xfId="0" applyNumberFormat="1" applyFont="1" applyAlignment="1">
      <alignment horizontal="left"/>
    </xf>
    <xf numFmtId="49" fontId="14" fillId="0" borderId="0" xfId="0" applyNumberFormat="1" applyFont="1" applyAlignment="1">
      <alignment horizontal="right"/>
    </xf>
    <xf numFmtId="0" fontId="16" fillId="0" borderId="0" xfId="0" applyFont="1"/>
    <xf numFmtId="49" fontId="8" fillId="0" borderId="0" xfId="0" quotePrefix="1" applyNumberFormat="1" applyFont="1" applyAlignment="1">
      <alignment vertical="center"/>
    </xf>
    <xf numFmtId="0" fontId="0" fillId="0" borderId="0" xfId="0" applyAlignment="1">
      <alignment horizontal="left"/>
    </xf>
    <xf numFmtId="0" fontId="16" fillId="0" borderId="0" xfId="0" applyFont="1" applyAlignment="1">
      <alignment horizontal="left"/>
    </xf>
    <xf numFmtId="0" fontId="38" fillId="0" borderId="0" xfId="0" applyFont="1" applyAlignment="1">
      <alignment horizontal="left"/>
    </xf>
    <xf numFmtId="49" fontId="16" fillId="0" borderId="0" xfId="0" applyNumberFormat="1" applyFont="1" applyAlignment="1">
      <alignment vertical="center" wrapText="1"/>
    </xf>
    <xf numFmtId="49" fontId="39" fillId="0" borderId="0" xfId="0" applyNumberFormat="1" applyFont="1" applyAlignment="1">
      <alignment horizontal="center" vertical="center"/>
    </xf>
    <xf numFmtId="0" fontId="92" fillId="0" borderId="1" xfId="0" applyFont="1" applyBorder="1" applyAlignment="1">
      <alignment horizontal="center" vertical="center" wrapText="1"/>
    </xf>
    <xf numFmtId="0" fontId="8" fillId="0" borderId="19" xfId="0" applyFont="1" applyBorder="1" applyAlignment="1">
      <alignment horizontal="left" vertical="top" wrapText="1"/>
    </xf>
    <xf numFmtId="0" fontId="8" fillId="0" borderId="10" xfId="0" applyFont="1" applyBorder="1" applyAlignment="1">
      <alignment horizontal="left" vertical="top" wrapText="1"/>
    </xf>
    <xf numFmtId="0" fontId="3" fillId="0" borderId="21" xfId="0" applyFont="1" applyBorder="1" applyAlignment="1">
      <alignment horizontal="right" vertical="center"/>
    </xf>
    <xf numFmtId="0" fontId="3" fillId="0" borderId="5" xfId="0" applyFont="1" applyBorder="1" applyAlignment="1">
      <alignment horizontal="right" vertical="center"/>
    </xf>
    <xf numFmtId="0" fontId="82" fillId="0" borderId="15" xfId="0" applyFont="1" applyBorder="1" applyAlignment="1">
      <alignment vertical="center" wrapText="1"/>
    </xf>
    <xf numFmtId="0" fontId="74" fillId="0" borderId="0" xfId="0" applyFont="1" applyAlignment="1">
      <alignment horizontal="left"/>
    </xf>
    <xf numFmtId="0" fontId="93" fillId="0" borderId="0" xfId="0" applyFont="1" applyAlignment="1">
      <alignment vertical="center" wrapText="1"/>
    </xf>
    <xf numFmtId="3" fontId="93" fillId="0" borderId="0" xfId="0" applyNumberFormat="1" applyFont="1" applyAlignment="1">
      <alignment vertical="center" wrapText="1"/>
    </xf>
    <xf numFmtId="4" fontId="93" fillId="0" borderId="0" xfId="0" applyNumberFormat="1" applyFont="1" applyAlignment="1">
      <alignment vertical="center" wrapText="1"/>
    </xf>
    <xf numFmtId="0" fontId="93" fillId="0" borderId="0" xfId="0" applyFont="1" applyAlignment="1">
      <alignment horizontal="center" vertical="center" wrapText="1"/>
    </xf>
    <xf numFmtId="43" fontId="93" fillId="0" borderId="0" xfId="2" applyFont="1" applyAlignment="1">
      <alignment horizontal="center" vertical="center" wrapText="1"/>
    </xf>
    <xf numFmtId="0" fontId="74" fillId="0" borderId="0" xfId="0" applyFont="1" applyAlignment="1">
      <alignment horizontal="right"/>
    </xf>
    <xf numFmtId="49" fontId="16" fillId="0" borderId="0" xfId="0" applyNumberFormat="1" applyFont="1" applyAlignment="1">
      <alignment horizontal="center"/>
    </xf>
    <xf numFmtId="167" fontId="38" fillId="2" borderId="1" xfId="0" applyNumberFormat="1" applyFont="1" applyFill="1" applyBorder="1" applyAlignment="1" applyProtection="1">
      <alignment horizontal="center" vertical="center"/>
      <protection locked="0"/>
    </xf>
    <xf numFmtId="170" fontId="52" fillId="7" borderId="1" xfId="0" applyNumberFormat="1" applyFont="1" applyFill="1" applyBorder="1" applyAlignment="1" applyProtection="1">
      <alignment horizontal="center" vertical="center"/>
      <protection locked="0"/>
    </xf>
    <xf numFmtId="0" fontId="3" fillId="7" borderId="0" xfId="0" applyFont="1" applyFill="1" applyAlignment="1">
      <alignment horizontal="center"/>
    </xf>
    <xf numFmtId="2" fontId="17" fillId="10" borderId="0" xfId="6" applyNumberFormat="1" applyFont="1" applyFill="1" applyBorder="1" applyAlignment="1" applyProtection="1">
      <alignment horizontal="center" vertical="center"/>
    </xf>
    <xf numFmtId="2" fontId="8" fillId="9" borderId="0" xfId="6" applyNumberFormat="1" applyFont="1" applyFill="1" applyBorder="1" applyAlignment="1" applyProtection="1">
      <alignment horizontal="center" vertical="center"/>
    </xf>
    <xf numFmtId="2" fontId="17" fillId="9" borderId="0" xfId="6" applyNumberFormat="1" applyFont="1" applyFill="1" applyBorder="1" applyAlignment="1" applyProtection="1">
      <alignment horizontal="center" vertical="center"/>
    </xf>
    <xf numFmtId="0" fontId="3" fillId="9" borderId="0" xfId="0" applyFont="1" applyFill="1" applyAlignment="1">
      <alignment horizontal="center"/>
    </xf>
    <xf numFmtId="49" fontId="5" fillId="0" borderId="0" xfId="0" applyNumberFormat="1" applyFont="1" applyAlignment="1">
      <alignment horizontal="center"/>
    </xf>
    <xf numFmtId="2" fontId="27" fillId="0" borderId="0" xfId="0" applyNumberFormat="1" applyFont="1" applyAlignment="1">
      <alignment horizontal="center" vertical="center"/>
    </xf>
    <xf numFmtId="2" fontId="38" fillId="7" borderId="1" xfId="0" applyNumberFormat="1" applyFont="1" applyFill="1" applyBorder="1" applyAlignment="1" applyProtection="1">
      <alignment horizontal="center" vertical="center"/>
      <protection locked="0"/>
    </xf>
    <xf numFmtId="2" fontId="38" fillId="0" borderId="17" xfId="0" applyNumberFormat="1" applyFont="1" applyBorder="1" applyAlignment="1" applyProtection="1">
      <alignment horizontal="center" vertical="center"/>
      <protection locked="0"/>
    </xf>
    <xf numFmtId="0" fontId="75" fillId="0" borderId="1" xfId="0" applyFont="1" applyBorder="1" applyAlignment="1">
      <alignment horizontal="center" vertical="center" wrapText="1"/>
    </xf>
    <xf numFmtId="0" fontId="73" fillId="0" borderId="0" xfId="0" applyFont="1" applyAlignment="1">
      <alignment vertical="center" wrapText="1"/>
    </xf>
    <xf numFmtId="0" fontId="94" fillId="8" borderId="0" xfId="0" applyFont="1" applyFill="1" applyAlignment="1" applyProtection="1">
      <alignment horizontal="center" vertical="center"/>
      <protection locked="0"/>
    </xf>
    <xf numFmtId="0" fontId="73" fillId="0" borderId="0" xfId="0" applyFont="1" applyProtection="1">
      <protection locked="0"/>
    </xf>
    <xf numFmtId="49" fontId="46" fillId="0" borderId="0" xfId="0" applyNumberFormat="1" applyFont="1" applyAlignment="1">
      <alignment horizontal="center" vertical="center"/>
    </xf>
    <xf numFmtId="49" fontId="46" fillId="0" borderId="0" xfId="0" applyNumberFormat="1" applyFont="1" applyAlignment="1">
      <alignment vertical="center"/>
    </xf>
    <xf numFmtId="49" fontId="46" fillId="0" borderId="0" xfId="0" quotePrefix="1" applyNumberFormat="1" applyFont="1" applyAlignment="1">
      <alignment horizontal="left" vertical="top" wrapText="1"/>
    </xf>
    <xf numFmtId="49" fontId="46" fillId="0" borderId="0" xfId="0" applyNumberFormat="1" applyFont="1" applyAlignment="1">
      <alignment horizontal="right" vertical="center"/>
    </xf>
    <xf numFmtId="49" fontId="38" fillId="8" borderId="1" xfId="0" applyNumberFormat="1" applyFont="1" applyFill="1" applyBorder="1" applyAlignment="1" applyProtection="1">
      <alignment horizontal="center" vertical="center"/>
      <protection locked="0"/>
    </xf>
    <xf numFmtId="0" fontId="90" fillId="0" borderId="10" xfId="0" applyFont="1" applyBorder="1" applyAlignment="1">
      <alignment horizontal="center" wrapText="1"/>
    </xf>
    <xf numFmtId="0" fontId="90" fillId="0" borderId="2" xfId="0" applyFont="1" applyBorder="1" applyAlignment="1">
      <alignment horizontal="center" wrapText="1"/>
    </xf>
    <xf numFmtId="0" fontId="90" fillId="0" borderId="5" xfId="0" applyFont="1" applyBorder="1" applyAlignment="1">
      <alignment horizontal="center" vertical="center" wrapText="1"/>
    </xf>
    <xf numFmtId="0" fontId="58" fillId="0" borderId="3" xfId="0" applyFont="1" applyBorder="1" applyAlignment="1">
      <alignment vertical="center"/>
    </xf>
    <xf numFmtId="43" fontId="82" fillId="7" borderId="10" xfId="2" applyFont="1" applyFill="1" applyBorder="1" applyAlignment="1" applyProtection="1">
      <alignment vertical="center" wrapText="1"/>
      <protection locked="0"/>
    </xf>
    <xf numFmtId="43" fontId="82" fillId="7" borderId="19" xfId="2" applyFont="1" applyFill="1" applyBorder="1" applyAlignment="1" applyProtection="1">
      <alignment vertical="center" wrapText="1"/>
      <protection locked="0"/>
    </xf>
    <xf numFmtId="0" fontId="38" fillId="0" borderId="5" xfId="0" applyFont="1" applyBorder="1" applyAlignment="1">
      <alignment vertical="center" wrapText="1"/>
    </xf>
    <xf numFmtId="0" fontId="8" fillId="0" borderId="0" xfId="0" applyFont="1" applyAlignment="1">
      <alignment horizontal="left" vertical="top" wrapText="1"/>
    </xf>
    <xf numFmtId="0" fontId="8" fillId="0" borderId="2" xfId="0" applyFont="1" applyBorder="1" applyAlignment="1">
      <alignment horizontal="left" vertical="top" wrapText="1"/>
    </xf>
    <xf numFmtId="174" fontId="3" fillId="0" borderId="0" xfId="0" applyNumberFormat="1" applyFont="1" applyAlignment="1">
      <alignment horizontal="left" vertical="center"/>
    </xf>
    <xf numFmtId="43" fontId="98" fillId="0" borderId="21" xfId="0" applyNumberFormat="1" applyFont="1" applyBorder="1" applyAlignment="1">
      <alignment horizontal="center" vertical="center" wrapText="1"/>
    </xf>
    <xf numFmtId="0" fontId="82" fillId="0" borderId="19" xfId="0" applyFont="1" applyBorder="1" applyAlignment="1">
      <alignment horizontal="right" vertical="center" wrapText="1"/>
    </xf>
    <xf numFmtId="43" fontId="92" fillId="0" borderId="21" xfId="0" applyNumberFormat="1" applyFont="1" applyBorder="1" applyAlignment="1">
      <alignment horizontal="center" vertical="center" wrapText="1"/>
    </xf>
    <xf numFmtId="43" fontId="82" fillId="0" borderId="0" xfId="0" applyNumberFormat="1" applyFont="1" applyAlignment="1">
      <alignment horizontal="center" vertical="center" wrapText="1"/>
    </xf>
    <xf numFmtId="0" fontId="82" fillId="0" borderId="6" xfId="0" applyFont="1" applyBorder="1" applyAlignment="1">
      <alignment horizontal="center" vertical="center" wrapText="1"/>
    </xf>
    <xf numFmtId="0" fontId="90" fillId="0" borderId="17" xfId="0" applyFont="1" applyBorder="1" applyAlignment="1">
      <alignment horizontal="center" wrapText="1"/>
    </xf>
    <xf numFmtId="43" fontId="82" fillId="7" borderId="1" xfId="2" applyFont="1" applyFill="1" applyBorder="1" applyAlignment="1" applyProtection="1">
      <alignment horizontal="center" vertical="center" wrapText="1"/>
      <protection locked="0"/>
    </xf>
    <xf numFmtId="43" fontId="82" fillId="7" borderId="14" xfId="2" quotePrefix="1" applyFont="1" applyFill="1" applyBorder="1" applyAlignment="1" applyProtection="1">
      <alignment horizontal="center" vertical="center" wrapText="1"/>
      <protection locked="0"/>
    </xf>
    <xf numFmtId="170" fontId="82" fillId="0" borderId="1" xfId="0" applyNumberFormat="1" applyFont="1" applyBorder="1" applyAlignment="1">
      <alignment horizontal="center" vertical="center" wrapText="1"/>
    </xf>
    <xf numFmtId="170" fontId="3" fillId="9" borderId="0" xfId="0" applyNumberFormat="1" applyFont="1" applyFill="1" applyAlignment="1">
      <alignment horizontal="center"/>
    </xf>
    <xf numFmtId="0" fontId="90" fillId="0" borderId="9" xfId="0" applyFont="1" applyBorder="1" applyAlignment="1">
      <alignment horizontal="center" wrapText="1"/>
    </xf>
    <xf numFmtId="174" fontId="82" fillId="0" borderId="4" xfId="0" applyNumberFormat="1" applyFont="1" applyBorder="1" applyAlignment="1">
      <alignment horizontal="center" vertical="center" wrapText="1"/>
    </xf>
    <xf numFmtId="0" fontId="38" fillId="0" borderId="10" xfId="0" applyFont="1" applyBorder="1" applyAlignment="1">
      <alignment vertical="center" wrapText="1"/>
    </xf>
    <xf numFmtId="0" fontId="39" fillId="0" borderId="14" xfId="0" applyFont="1" applyBorder="1" applyAlignment="1">
      <alignment horizontal="center" vertical="center" wrapText="1"/>
    </xf>
    <xf numFmtId="0" fontId="38" fillId="8" borderId="6" xfId="0" applyFont="1" applyFill="1" applyBorder="1" applyAlignment="1" applyProtection="1">
      <alignment horizontal="center" vertical="center" wrapText="1"/>
      <protection locked="0"/>
    </xf>
    <xf numFmtId="0" fontId="38" fillId="8" borderId="14" xfId="0" applyFont="1" applyFill="1" applyBorder="1" applyAlignment="1" applyProtection="1">
      <alignment horizontal="center" vertical="center" wrapText="1"/>
      <protection locked="0"/>
    </xf>
    <xf numFmtId="43" fontId="82" fillId="7" borderId="18" xfId="2" quotePrefix="1" applyFont="1" applyFill="1" applyBorder="1" applyAlignment="1" applyProtection="1">
      <alignment horizontal="center" vertical="center" wrapText="1"/>
      <protection locked="0"/>
    </xf>
    <xf numFmtId="0" fontId="90" fillId="0" borderId="6" xfId="0" applyFont="1" applyBorder="1" applyAlignment="1">
      <alignment horizontal="center" wrapText="1"/>
    </xf>
    <xf numFmtId="43" fontId="8" fillId="7" borderId="1" xfId="2" applyFont="1" applyFill="1" applyBorder="1" applyAlignment="1" applyProtection="1">
      <alignment horizontal="center" vertical="center" wrapText="1"/>
      <protection locked="0"/>
    </xf>
    <xf numFmtId="43" fontId="8" fillId="7" borderId="18" xfId="2" applyFont="1" applyFill="1" applyBorder="1" applyAlignment="1" applyProtection="1">
      <alignment horizontal="center" vertical="center" wrapText="1"/>
      <protection locked="0"/>
    </xf>
    <xf numFmtId="43" fontId="8" fillId="7" borderId="4" xfId="2" applyFont="1" applyFill="1" applyBorder="1" applyAlignment="1" applyProtection="1">
      <alignment horizontal="center" vertical="center"/>
      <protection locked="0"/>
    </xf>
    <xf numFmtId="43" fontId="8" fillId="7" borderId="1" xfId="2" applyFont="1" applyFill="1" applyBorder="1" applyAlignment="1" applyProtection="1">
      <alignment horizontal="center" vertical="center"/>
      <protection locked="0"/>
    </xf>
    <xf numFmtId="1" fontId="8" fillId="0" borderId="1" xfId="0" applyNumberFormat="1" applyFont="1" applyBorder="1" applyAlignment="1">
      <alignment horizontal="center" vertical="center" wrapText="1"/>
    </xf>
    <xf numFmtId="0" fontId="93" fillId="0" borderId="1" xfId="0" applyFont="1" applyBorder="1" applyAlignment="1">
      <alignment horizontal="center" vertical="center" wrapText="1"/>
    </xf>
    <xf numFmtId="43" fontId="93" fillId="0" borderId="1" xfId="2" applyFont="1" applyBorder="1" applyAlignment="1">
      <alignment vertical="center" wrapText="1"/>
    </xf>
    <xf numFmtId="167" fontId="10" fillId="0" borderId="1" xfId="0" applyNumberFormat="1" applyFont="1" applyBorder="1" applyAlignment="1">
      <alignment horizontal="center" vertical="center"/>
    </xf>
    <xf numFmtId="175" fontId="8" fillId="0" borderId="1" xfId="0" applyNumberFormat="1" applyFont="1" applyBorder="1" applyAlignment="1">
      <alignment horizontal="right" vertical="center" wrapText="1"/>
    </xf>
    <xf numFmtId="175" fontId="82" fillId="10" borderId="18" xfId="0" quotePrefix="1" applyNumberFormat="1" applyFont="1" applyFill="1" applyBorder="1" applyAlignment="1">
      <alignment horizontal="right" vertical="center" wrapText="1"/>
    </xf>
    <xf numFmtId="2" fontId="3" fillId="0" borderId="0" xfId="0" applyNumberFormat="1" applyFont="1"/>
    <xf numFmtId="170" fontId="52" fillId="0" borderId="0" xfId="0" applyNumberFormat="1" applyFont="1" applyAlignment="1" applyProtection="1">
      <alignment horizontal="center" vertical="center"/>
      <protection locked="0"/>
    </xf>
    <xf numFmtId="0" fontId="96" fillId="0" borderId="0" xfId="0" applyFont="1"/>
    <xf numFmtId="0" fontId="96" fillId="0" borderId="0" xfId="0" applyFont="1" applyAlignment="1">
      <alignment vertical="center"/>
    </xf>
    <xf numFmtId="0" fontId="96" fillId="0" borderId="0" xfId="0" applyFont="1" applyAlignment="1">
      <alignment horizontal="center" vertical="center"/>
    </xf>
    <xf numFmtId="170" fontId="96" fillId="0" borderId="0" xfId="0" applyNumberFormat="1" applyFont="1" applyAlignment="1">
      <alignment vertical="center"/>
    </xf>
    <xf numFmtId="170" fontId="96" fillId="0" borderId="0" xfId="0" applyNumberFormat="1" applyFont="1"/>
    <xf numFmtId="0" fontId="96" fillId="0" borderId="0" xfId="0" applyFont="1" applyAlignment="1">
      <alignment vertical="center" wrapText="1"/>
    </xf>
    <xf numFmtId="0" fontId="58" fillId="0" borderId="0" xfId="0" applyFont="1" applyAlignment="1">
      <alignment vertical="center"/>
    </xf>
    <xf numFmtId="0" fontId="58" fillId="0" borderId="0" xfId="0" applyFont="1"/>
    <xf numFmtId="0" fontId="99" fillId="0" borderId="0" xfId="0" applyFont="1" applyAlignment="1">
      <alignment horizontal="left" vertical="center"/>
    </xf>
    <xf numFmtId="174" fontId="99" fillId="0" borderId="0" xfId="0" applyNumberFormat="1" applyFont="1" applyAlignment="1">
      <alignment horizontal="left" vertical="center"/>
    </xf>
    <xf numFmtId="0" fontId="73" fillId="0" borderId="0" xfId="0" applyFont="1" applyAlignment="1">
      <alignment horizontal="center" vertical="center" wrapText="1"/>
    </xf>
    <xf numFmtId="2" fontId="96" fillId="0" borderId="0" xfId="5" applyNumberFormat="1" applyFont="1" applyAlignment="1">
      <alignment vertical="center"/>
    </xf>
    <xf numFmtId="2" fontId="96" fillId="0" borderId="0" xfId="0" applyNumberFormat="1" applyFont="1" applyAlignment="1">
      <alignment vertical="center"/>
    </xf>
    <xf numFmtId="0" fontId="103" fillId="0" borderId="1" xfId="0" applyFont="1" applyBorder="1" applyAlignment="1">
      <alignment horizontal="center" vertical="center" wrapText="1"/>
    </xf>
    <xf numFmtId="49" fontId="38" fillId="3" borderId="1" xfId="0" applyNumberFormat="1" applyFont="1" applyFill="1" applyBorder="1" applyAlignment="1">
      <alignment horizontal="center" vertical="center" wrapText="1"/>
    </xf>
    <xf numFmtId="174" fontId="3" fillId="0" borderId="0" xfId="0" applyNumberFormat="1" applyFont="1" applyAlignment="1">
      <alignment horizontal="center"/>
    </xf>
    <xf numFmtId="176" fontId="3" fillId="0" borderId="0" xfId="0" applyNumberFormat="1" applyFont="1" applyAlignment="1">
      <alignment horizontal="center"/>
    </xf>
    <xf numFmtId="0" fontId="46" fillId="0" borderId="0" xfId="0" applyFont="1" applyAlignment="1">
      <alignment horizontal="left" vertical="center"/>
    </xf>
    <xf numFmtId="49" fontId="26" fillId="0" borderId="0" xfId="0" applyNumberFormat="1" applyFont="1" applyAlignment="1">
      <alignment horizontal="left" vertical="center"/>
    </xf>
    <xf numFmtId="49" fontId="46" fillId="0" borderId="14" xfId="0" applyNumberFormat="1" applyFont="1" applyBorder="1" applyAlignment="1">
      <alignment horizontal="center" vertical="center" wrapText="1"/>
    </xf>
    <xf numFmtId="0" fontId="75" fillId="8" borderId="14" xfId="0" applyFont="1" applyFill="1" applyBorder="1" applyAlignment="1" applyProtection="1">
      <alignment horizontal="center" vertical="center" wrapText="1"/>
      <protection locked="0"/>
    </xf>
    <xf numFmtId="168" fontId="14" fillId="0" borderId="14" xfId="5" applyNumberFormat="1" applyFont="1" applyBorder="1" applyAlignment="1">
      <alignment horizontal="center" vertical="center"/>
    </xf>
    <xf numFmtId="166" fontId="14" fillId="3" borderId="0" xfId="0" applyNumberFormat="1" applyFont="1" applyFill="1" applyAlignment="1">
      <alignment horizontal="center" vertical="center"/>
    </xf>
    <xf numFmtId="49" fontId="15" fillId="3" borderId="0" xfId="0" applyNumberFormat="1" applyFont="1" applyFill="1" applyAlignment="1">
      <alignment horizontal="center" vertical="center"/>
    </xf>
    <xf numFmtId="2" fontId="15" fillId="3" borderId="0" xfId="0" applyNumberFormat="1" applyFont="1" applyFill="1" applyAlignment="1">
      <alignment horizontal="center" vertical="center"/>
    </xf>
    <xf numFmtId="168" fontId="38" fillId="0" borderId="17" xfId="5" applyNumberFormat="1" applyFont="1" applyBorder="1" applyAlignment="1">
      <alignment horizontal="center" vertical="center"/>
    </xf>
    <xf numFmtId="0" fontId="8" fillId="3" borderId="1" xfId="0" applyFont="1" applyFill="1" applyBorder="1" applyAlignment="1">
      <alignment horizontal="center" vertical="center" wrapText="1"/>
    </xf>
    <xf numFmtId="0" fontId="5" fillId="0" borderId="1" xfId="0" applyFont="1" applyBorder="1" applyAlignment="1">
      <alignment horizontal="center"/>
    </xf>
    <xf numFmtId="164" fontId="46" fillId="3" borderId="1" xfId="0" applyNumberFormat="1" applyFont="1" applyFill="1" applyBorder="1" applyAlignment="1">
      <alignment horizontal="center" vertical="center" wrapText="1"/>
    </xf>
    <xf numFmtId="168" fontId="38" fillId="2" borderId="14" xfId="5" applyNumberFormat="1" applyFont="1" applyFill="1" applyBorder="1" applyAlignment="1" applyProtection="1">
      <alignment horizontal="center" vertical="center"/>
      <protection locked="0"/>
    </xf>
    <xf numFmtId="0" fontId="52" fillId="0" borderId="1" xfId="2" applyNumberFormat="1" applyFont="1" applyBorder="1" applyAlignment="1">
      <alignment vertical="center"/>
    </xf>
    <xf numFmtId="0" fontId="69" fillId="3" borderId="14" xfId="0" applyFont="1" applyFill="1" applyBorder="1" applyAlignment="1">
      <alignment horizontal="center" vertical="center" wrapText="1"/>
    </xf>
    <xf numFmtId="49" fontId="106" fillId="0" borderId="0" xfId="0" applyNumberFormat="1" applyFont="1" applyAlignment="1">
      <alignment vertical="center"/>
    </xf>
    <xf numFmtId="49" fontId="107" fillId="0" borderId="0" xfId="0" applyNumberFormat="1" applyFont="1" applyAlignment="1">
      <alignment vertical="center"/>
    </xf>
    <xf numFmtId="49" fontId="108" fillId="0" borderId="0" xfId="0" applyNumberFormat="1" applyFont="1" applyAlignment="1">
      <alignment vertical="center"/>
    </xf>
    <xf numFmtId="49" fontId="109" fillId="0" borderId="0" xfId="0" applyNumberFormat="1" applyFont="1" applyAlignment="1">
      <alignment vertical="center"/>
    </xf>
    <xf numFmtId="0" fontId="107" fillId="0" borderId="0" xfId="0" applyFont="1"/>
    <xf numFmtId="0" fontId="107" fillId="0" borderId="0" xfId="0" applyFont="1" applyAlignment="1">
      <alignment vertical="center"/>
    </xf>
    <xf numFmtId="49" fontId="24" fillId="0" borderId="0" xfId="0" applyNumberFormat="1" applyFont="1" applyFill="1" applyAlignment="1">
      <alignment vertical="center"/>
    </xf>
    <xf numFmtId="49" fontId="109" fillId="0" borderId="0" xfId="0" applyNumberFormat="1" applyFont="1" applyFill="1" applyAlignment="1">
      <alignment vertical="center"/>
    </xf>
    <xf numFmtId="0" fontId="105" fillId="0" borderId="0" xfId="0" applyFont="1" applyFill="1" applyBorder="1" applyAlignment="1">
      <alignment horizontal="center" vertical="center" wrapText="1"/>
    </xf>
    <xf numFmtId="0" fontId="109" fillId="0" borderId="0" xfId="0" applyNumberFormat="1" applyFont="1" applyFill="1" applyAlignment="1">
      <alignment vertical="center"/>
    </xf>
    <xf numFmtId="2" fontId="8" fillId="10" borderId="0" xfId="6" applyNumberFormat="1" applyFont="1" applyFill="1" applyBorder="1" applyAlignment="1" applyProtection="1">
      <alignment vertical="center"/>
    </xf>
    <xf numFmtId="43" fontId="3" fillId="0" borderId="0" xfId="0" applyNumberFormat="1" applyFont="1" applyAlignment="1">
      <alignment vertical="center"/>
    </xf>
    <xf numFmtId="43" fontId="90" fillId="0" borderId="1" xfId="2" applyFont="1" applyBorder="1" applyAlignment="1">
      <alignment horizontal="center" vertical="center" wrapText="1"/>
    </xf>
    <xf numFmtId="176" fontId="3" fillId="0" borderId="0" xfId="0" applyNumberFormat="1" applyFont="1" applyAlignment="1">
      <alignment horizontal="right"/>
    </xf>
    <xf numFmtId="0" fontId="75" fillId="0" borderId="14" xfId="0" applyFont="1" applyBorder="1" applyAlignment="1" applyProtection="1">
      <alignment horizontal="center" vertical="center" wrapText="1"/>
    </xf>
    <xf numFmtId="49" fontId="46" fillId="0" borderId="0" xfId="0" applyNumberFormat="1" applyFont="1" applyAlignment="1">
      <alignment horizontal="center" vertical="center"/>
    </xf>
    <xf numFmtId="49" fontId="46" fillId="7" borderId="0" xfId="0" applyNumberFormat="1" applyFont="1" applyFill="1" applyAlignment="1" applyProtection="1">
      <alignment horizontal="center" vertical="center"/>
      <protection locked="0"/>
    </xf>
    <xf numFmtId="49" fontId="46" fillId="8" borderId="0" xfId="0" applyNumberFormat="1" applyFont="1" applyFill="1" applyAlignment="1" applyProtection="1">
      <alignment horizontal="center" vertical="center"/>
      <protection locked="0"/>
    </xf>
    <xf numFmtId="49" fontId="5" fillId="0" borderId="0" xfId="0" applyNumberFormat="1" applyFont="1" applyAlignment="1">
      <alignment horizontal="center" vertical="center"/>
    </xf>
    <xf numFmtId="49" fontId="16" fillId="0" borderId="0" xfId="0" quotePrefix="1" applyNumberFormat="1" applyFont="1" applyAlignment="1">
      <alignment horizontal="left" vertical="top" wrapText="1"/>
    </xf>
    <xf numFmtId="49" fontId="38" fillId="0" borderId="0" xfId="0" quotePrefix="1" applyNumberFormat="1" applyFont="1" applyAlignment="1">
      <alignment horizontal="center" vertical="top" wrapText="1"/>
    </xf>
    <xf numFmtId="49" fontId="5" fillId="2" borderId="0" xfId="0" applyNumberFormat="1" applyFont="1" applyFill="1" applyAlignment="1" applyProtection="1">
      <alignment horizontal="center" vertical="center"/>
      <protection locked="0"/>
    </xf>
    <xf numFmtId="49" fontId="40" fillId="2" borderId="7" xfId="1" applyNumberFormat="1" applyFont="1" applyFill="1" applyBorder="1" applyAlignment="1" applyProtection="1">
      <alignment horizontal="center"/>
      <protection locked="0"/>
    </xf>
    <xf numFmtId="49" fontId="5" fillId="0" borderId="0" xfId="0" applyNumberFormat="1" applyFont="1" applyAlignment="1">
      <alignment horizontal="left"/>
    </xf>
    <xf numFmtId="49" fontId="5" fillId="2" borderId="7" xfId="0" applyNumberFormat="1" applyFont="1" applyFill="1" applyBorder="1" applyAlignment="1" applyProtection="1">
      <alignment horizontal="center"/>
      <protection locked="0"/>
    </xf>
    <xf numFmtId="49" fontId="16" fillId="7" borderId="0" xfId="0" applyNumberFormat="1" applyFont="1" applyFill="1" applyAlignment="1" applyProtection="1">
      <alignment horizontal="center" vertical="center"/>
      <protection locked="0"/>
    </xf>
    <xf numFmtId="49" fontId="60" fillId="5" borderId="0" xfId="0" applyNumberFormat="1" applyFont="1" applyFill="1" applyAlignment="1">
      <alignment horizontal="center" vertical="center"/>
    </xf>
    <xf numFmtId="49" fontId="10" fillId="0" borderId="11" xfId="0" applyNumberFormat="1" applyFont="1" applyBorder="1" applyAlignment="1">
      <alignment horizontal="center" vertical="center"/>
    </xf>
    <xf numFmtId="49" fontId="10" fillId="0" borderId="12" xfId="0" applyNumberFormat="1" applyFont="1" applyBorder="1" applyAlignment="1">
      <alignment horizontal="center" vertical="center"/>
    </xf>
    <xf numFmtId="49" fontId="10" fillId="0" borderId="13" xfId="0" applyNumberFormat="1" applyFont="1" applyBorder="1" applyAlignment="1">
      <alignment horizontal="center" vertical="center"/>
    </xf>
    <xf numFmtId="49" fontId="8" fillId="12" borderId="14" xfId="0" applyNumberFormat="1" applyFont="1" applyFill="1" applyBorder="1" applyAlignment="1">
      <alignment horizontal="center" vertical="center"/>
    </xf>
    <xf numFmtId="49" fontId="8" fillId="12" borderId="6" xfId="0" applyNumberFormat="1" applyFont="1" applyFill="1" applyBorder="1" applyAlignment="1">
      <alignment horizontal="center" vertical="center"/>
    </xf>
    <xf numFmtId="49" fontId="8" fillId="12" borderId="15" xfId="0" applyNumberFormat="1" applyFont="1" applyFill="1" applyBorder="1" applyAlignment="1">
      <alignment horizontal="center" vertical="center"/>
    </xf>
    <xf numFmtId="49" fontId="8" fillId="2" borderId="14" xfId="0" applyNumberFormat="1" applyFont="1" applyFill="1" applyBorder="1" applyAlignment="1">
      <alignment horizontal="center"/>
    </xf>
    <xf numFmtId="49" fontId="8" fillId="2" borderId="6" xfId="0" applyNumberFormat="1" applyFont="1" applyFill="1" applyBorder="1" applyAlignment="1">
      <alignment horizontal="center"/>
    </xf>
    <xf numFmtId="49" fontId="8" fillId="2" borderId="15" xfId="0" applyNumberFormat="1" applyFont="1" applyFill="1" applyBorder="1" applyAlignment="1">
      <alignment horizontal="center"/>
    </xf>
    <xf numFmtId="49" fontId="60" fillId="13" borderId="0" xfId="0" applyNumberFormat="1" applyFont="1" applyFill="1" applyAlignment="1">
      <alignment horizontal="center" vertical="center"/>
    </xf>
    <xf numFmtId="49" fontId="8" fillId="8" borderId="14" xfId="0" applyNumberFormat="1" applyFont="1" applyFill="1" applyBorder="1" applyAlignment="1">
      <alignment horizontal="center" vertical="center"/>
    </xf>
    <xf numFmtId="49" fontId="8" fillId="8" borderId="6" xfId="0" applyNumberFormat="1" applyFont="1" applyFill="1" applyBorder="1" applyAlignment="1">
      <alignment horizontal="center" vertical="center"/>
    </xf>
    <xf numFmtId="49" fontId="8" fillId="8" borderId="15" xfId="0" applyNumberFormat="1" applyFont="1" applyFill="1" applyBorder="1" applyAlignment="1">
      <alignment horizontal="center" vertical="center"/>
    </xf>
    <xf numFmtId="49" fontId="5" fillId="0" borderId="0" xfId="0" applyNumberFormat="1" applyFont="1" applyAlignment="1">
      <alignment horizontal="left" vertical="top"/>
    </xf>
    <xf numFmtId="49" fontId="16" fillId="8" borderId="0" xfId="0" applyNumberFormat="1" applyFont="1" applyFill="1" applyAlignment="1" applyProtection="1">
      <alignment vertical="center"/>
      <protection locked="0"/>
    </xf>
    <xf numFmtId="49" fontId="16" fillId="8" borderId="0" xfId="0" applyNumberFormat="1" applyFont="1" applyFill="1" applyAlignment="1" applyProtection="1">
      <alignment horizontal="left" vertical="center"/>
      <protection locked="0"/>
    </xf>
    <xf numFmtId="49" fontId="8" fillId="2" borderId="7" xfId="0" applyNumberFormat="1" applyFont="1" applyFill="1" applyBorder="1" applyAlignment="1" applyProtection="1">
      <alignment horizontal="center"/>
      <protection locked="0"/>
    </xf>
    <xf numFmtId="49" fontId="16" fillId="8" borderId="0" xfId="0" applyNumberFormat="1" applyFont="1" applyFill="1" applyAlignment="1" applyProtection="1">
      <alignment horizontal="center" vertical="center"/>
      <protection locked="0"/>
    </xf>
    <xf numFmtId="49" fontId="14" fillId="2" borderId="0" xfId="0" applyNumberFormat="1" applyFont="1" applyFill="1" applyAlignment="1" applyProtection="1">
      <alignment horizontal="center" vertical="center" wrapText="1"/>
      <protection locked="0"/>
    </xf>
    <xf numFmtId="173" fontId="14" fillId="2" borderId="0" xfId="0" applyNumberFormat="1" applyFont="1" applyFill="1" applyAlignment="1" applyProtection="1">
      <alignment horizontal="center" vertical="center" wrapText="1"/>
      <protection locked="0"/>
    </xf>
    <xf numFmtId="49" fontId="70" fillId="0" borderId="16" xfId="0" applyNumberFormat="1" applyFont="1" applyBorder="1" applyAlignment="1">
      <alignment horizontal="center"/>
    </xf>
    <xf numFmtId="0" fontId="21" fillId="7" borderId="0" xfId="0" applyFont="1" applyFill="1" applyAlignment="1" applyProtection="1">
      <alignment horizontal="center"/>
      <protection locked="0"/>
    </xf>
    <xf numFmtId="14" fontId="16" fillId="2" borderId="0" xfId="0" quotePrefix="1" applyNumberFormat="1" applyFont="1" applyFill="1" applyAlignment="1" applyProtection="1">
      <alignment horizontal="center"/>
      <protection locked="0"/>
    </xf>
    <xf numFmtId="0" fontId="3" fillId="2" borderId="0" xfId="0" applyFont="1" applyFill="1" applyAlignment="1" applyProtection="1">
      <alignment horizontal="left"/>
      <protection locked="0"/>
    </xf>
    <xf numFmtId="0" fontId="0" fillId="2" borderId="0" xfId="0" applyFill="1" applyAlignment="1" applyProtection="1">
      <alignment horizontal="left"/>
      <protection locked="0"/>
    </xf>
    <xf numFmtId="49" fontId="5" fillId="7" borderId="0" xfId="0" applyNumberFormat="1" applyFont="1" applyFill="1" applyAlignment="1" applyProtection="1">
      <alignment horizontal="center"/>
      <protection locked="0"/>
    </xf>
    <xf numFmtId="49" fontId="4" fillId="0" borderId="0" xfId="0" applyNumberFormat="1" applyFont="1" applyAlignment="1">
      <alignment horizontal="center"/>
    </xf>
    <xf numFmtId="49" fontId="23" fillId="0" borderId="0" xfId="0" applyNumberFormat="1" applyFont="1" applyAlignment="1">
      <alignment horizontal="center" vertical="center"/>
    </xf>
    <xf numFmtId="49" fontId="17" fillId="0" borderId="0" xfId="0" applyNumberFormat="1" applyFont="1" applyAlignment="1">
      <alignment horizontal="center" vertical="center"/>
    </xf>
    <xf numFmtId="49" fontId="4" fillId="0" borderId="0" xfId="0" applyNumberFormat="1" applyFont="1" applyAlignment="1">
      <alignment horizontal="center" vertical="center"/>
    </xf>
    <xf numFmtId="49" fontId="9" fillId="0" borderId="0" xfId="0" applyNumberFormat="1" applyFont="1" applyAlignment="1">
      <alignment horizontal="center" vertical="center" wrapText="1"/>
    </xf>
    <xf numFmtId="49" fontId="9" fillId="0" borderId="0" xfId="0" applyNumberFormat="1" applyFont="1" applyAlignment="1">
      <alignment horizontal="center" vertical="center"/>
    </xf>
    <xf numFmtId="49" fontId="29" fillId="0" borderId="0" xfId="0" applyNumberFormat="1" applyFont="1" applyAlignment="1">
      <alignment horizontal="center" vertical="center"/>
    </xf>
    <xf numFmtId="49" fontId="11" fillId="0" borderId="0" xfId="0" applyNumberFormat="1" applyFont="1" applyAlignment="1">
      <alignment horizontal="center" vertical="center"/>
    </xf>
    <xf numFmtId="49" fontId="16" fillId="7" borderId="1" xfId="0" applyNumberFormat="1" applyFont="1" applyFill="1" applyBorder="1" applyAlignment="1" applyProtection="1">
      <alignment horizontal="center"/>
      <protection locked="0"/>
    </xf>
    <xf numFmtId="0" fontId="0" fillId="7" borderId="0" xfId="0" applyFill="1" applyAlignment="1" applyProtection="1">
      <alignment horizontal="center"/>
      <protection locked="0"/>
    </xf>
    <xf numFmtId="49" fontId="16" fillId="0" borderId="0" xfId="0" applyNumberFormat="1" applyFont="1" applyAlignment="1">
      <alignment horizontal="right"/>
    </xf>
    <xf numFmtId="49" fontId="14" fillId="2" borderId="0" xfId="0" applyNumberFormat="1" applyFont="1" applyFill="1" applyAlignment="1" applyProtection="1">
      <alignment horizontal="center"/>
      <protection locked="0"/>
    </xf>
    <xf numFmtId="49" fontId="14" fillId="7" borderId="0" xfId="0" applyNumberFormat="1" applyFont="1" applyFill="1" applyAlignment="1" applyProtection="1">
      <alignment horizontal="center"/>
      <protection locked="0"/>
    </xf>
    <xf numFmtId="49" fontId="16" fillId="0" borderId="0" xfId="0" applyNumberFormat="1" applyFont="1" applyAlignment="1">
      <alignment horizontal="center" vertical="center" wrapText="1"/>
    </xf>
    <xf numFmtId="49" fontId="16" fillId="0" borderId="0" xfId="0" applyNumberFormat="1" applyFont="1" applyAlignment="1">
      <alignment horizontal="center"/>
    </xf>
    <xf numFmtId="49" fontId="16" fillId="8" borderId="1" xfId="0" applyNumberFormat="1" applyFont="1" applyFill="1" applyBorder="1" applyAlignment="1" applyProtection="1">
      <alignment horizontal="center"/>
      <protection locked="0"/>
    </xf>
    <xf numFmtId="49" fontId="16" fillId="7" borderId="0" xfId="0" quotePrefix="1" applyNumberFormat="1" applyFont="1" applyFill="1" applyAlignment="1" applyProtection="1">
      <alignment horizontal="center" vertical="top" wrapText="1"/>
      <protection locked="0"/>
    </xf>
    <xf numFmtId="49" fontId="16" fillId="8" borderId="0" xfId="0" quotePrefix="1" applyNumberFormat="1" applyFont="1" applyFill="1" applyAlignment="1" applyProtection="1">
      <alignment horizontal="left" vertical="top" wrapText="1"/>
      <protection locked="0"/>
    </xf>
    <xf numFmtId="49" fontId="5" fillId="7" borderId="1" xfId="0" applyNumberFormat="1" applyFont="1" applyFill="1" applyBorder="1" applyAlignment="1" applyProtection="1">
      <alignment horizontal="center"/>
      <protection locked="0"/>
    </xf>
    <xf numFmtId="0" fontId="52" fillId="0" borderId="0" xfId="0" applyFont="1" applyAlignment="1">
      <alignment horizontal="center" vertical="center"/>
    </xf>
    <xf numFmtId="0" fontId="53" fillId="0" borderId="1" xfId="0" applyFont="1" applyBorder="1" applyAlignment="1">
      <alignment horizontal="center" vertical="center"/>
    </xf>
    <xf numFmtId="0" fontId="39" fillId="0" borderId="1" xfId="0" applyFont="1" applyBorder="1" applyAlignment="1">
      <alignment horizontal="center" vertical="center" wrapText="1"/>
    </xf>
    <xf numFmtId="49" fontId="56" fillId="0" borderId="2" xfId="0" applyNumberFormat="1" applyFont="1" applyBorder="1" applyAlignment="1">
      <alignment horizontal="left" vertical="center"/>
    </xf>
    <xf numFmtId="0" fontId="56" fillId="0" borderId="2" xfId="0" applyFont="1" applyBorder="1" applyAlignment="1">
      <alignment horizontal="left" vertical="center"/>
    </xf>
    <xf numFmtId="0" fontId="54" fillId="4" borderId="0" xfId="0" applyFont="1" applyFill="1" applyAlignment="1">
      <alignment horizontal="center" vertical="center"/>
    </xf>
    <xf numFmtId="0" fontId="59" fillId="14" borderId="0" xfId="0" applyFont="1" applyFill="1" applyAlignment="1">
      <alignment horizontal="center" vertical="center" wrapText="1"/>
    </xf>
    <xf numFmtId="0" fontId="55" fillId="4" borderId="0" xfId="0" applyFont="1" applyFill="1" applyAlignment="1">
      <alignment horizontal="right" vertical="center"/>
    </xf>
    <xf numFmtId="170" fontId="52" fillId="0" borderId="0" xfId="0" applyNumberFormat="1" applyFont="1" applyAlignment="1">
      <alignment horizontal="right" vertical="center" wrapText="1"/>
    </xf>
    <xf numFmtId="9" fontId="38" fillId="2" borderId="14" xfId="5" applyFont="1" applyFill="1" applyBorder="1" applyAlignment="1" applyProtection="1">
      <alignment horizontal="center" vertical="center"/>
      <protection locked="0"/>
    </xf>
    <xf numFmtId="9" fontId="38" fillId="2" borderId="6" xfId="5" applyFont="1" applyFill="1" applyBorder="1" applyAlignment="1" applyProtection="1">
      <alignment horizontal="center" vertical="center"/>
      <protection locked="0"/>
    </xf>
    <xf numFmtId="9" fontId="38" fillId="2" borderId="15" xfId="5" applyFont="1" applyFill="1" applyBorder="1" applyAlignment="1" applyProtection="1">
      <alignment horizontal="center" vertical="center"/>
      <protection locked="0"/>
    </xf>
    <xf numFmtId="49" fontId="7" fillId="3" borderId="19" xfId="0" applyNumberFormat="1" applyFont="1" applyFill="1" applyBorder="1" applyAlignment="1">
      <alignment horizontal="left" vertical="center"/>
    </xf>
    <xf numFmtId="49" fontId="7" fillId="3" borderId="0" xfId="0" applyNumberFormat="1" applyFont="1" applyFill="1" applyAlignment="1">
      <alignment horizontal="left" vertical="center"/>
    </xf>
    <xf numFmtId="0" fontId="36" fillId="2" borderId="8" xfId="0" applyFont="1" applyFill="1" applyBorder="1" applyAlignment="1" applyProtection="1">
      <alignment horizontal="center" vertical="center" wrapText="1"/>
      <protection locked="0"/>
    </xf>
    <xf numFmtId="0" fontId="36" fillId="2" borderId="17" xfId="0" applyFont="1" applyFill="1" applyBorder="1" applyAlignment="1" applyProtection="1">
      <alignment horizontal="center" vertical="center" wrapText="1"/>
      <protection locked="0"/>
    </xf>
    <xf numFmtId="0" fontId="38" fillId="2" borderId="1" xfId="0" applyFont="1" applyFill="1" applyBorder="1" applyAlignment="1" applyProtection="1">
      <alignment horizontal="center" vertical="center"/>
      <protection locked="0"/>
    </xf>
    <xf numFmtId="0" fontId="63" fillId="0" borderId="8" xfId="0" applyFont="1" applyBorder="1" applyAlignment="1">
      <alignment horizontal="center" vertical="center" wrapText="1"/>
    </xf>
    <xf numFmtId="0" fontId="63" fillId="0" borderId="17" xfId="0" applyFont="1" applyBorder="1" applyAlignment="1">
      <alignment horizontal="center" vertical="center" wrapText="1"/>
    </xf>
    <xf numFmtId="0" fontId="63" fillId="0" borderId="9" xfId="0" applyFont="1" applyBorder="1" applyAlignment="1">
      <alignment horizontal="center" vertical="center" wrapText="1"/>
    </xf>
    <xf numFmtId="3" fontId="38" fillId="2" borderId="1" xfId="0" applyNumberFormat="1" applyFont="1" applyFill="1" applyBorder="1" applyAlignment="1" applyProtection="1">
      <alignment horizontal="center" vertical="center"/>
      <protection locked="0"/>
    </xf>
    <xf numFmtId="0" fontId="38" fillId="0" borderId="1" xfId="0" applyFont="1" applyBorder="1" applyAlignment="1">
      <alignment horizontal="center" vertical="center"/>
    </xf>
    <xf numFmtId="49" fontId="16" fillId="3" borderId="0" xfId="0" applyNumberFormat="1" applyFont="1" applyFill="1" applyAlignment="1">
      <alignment horizontal="left" vertical="center" wrapText="1"/>
    </xf>
    <xf numFmtId="2" fontId="36" fillId="2" borderId="8" xfId="0" applyNumberFormat="1" applyFont="1" applyFill="1" applyBorder="1" applyAlignment="1" applyProtection="1">
      <alignment horizontal="center" vertical="center"/>
      <protection locked="0"/>
    </xf>
    <xf numFmtId="2" fontId="36" fillId="2" borderId="17" xfId="0" applyNumberFormat="1" applyFont="1" applyFill="1" applyBorder="1" applyAlignment="1" applyProtection="1">
      <alignment horizontal="center" vertical="center"/>
      <protection locked="0"/>
    </xf>
    <xf numFmtId="2" fontId="36" fillId="2" borderId="9" xfId="0" applyNumberFormat="1" applyFont="1" applyFill="1" applyBorder="1" applyAlignment="1" applyProtection="1">
      <alignment horizontal="center" vertical="center"/>
      <protection locked="0"/>
    </xf>
    <xf numFmtId="0" fontId="16" fillId="0" borderId="0" xfId="0" applyFont="1" applyAlignment="1">
      <alignment horizontal="left" vertical="center" wrapText="1"/>
    </xf>
    <xf numFmtId="2" fontId="15" fillId="3" borderId="14" xfId="0" applyNumberFormat="1" applyFont="1" applyFill="1" applyBorder="1" applyAlignment="1">
      <alignment horizontal="center" vertical="center"/>
    </xf>
    <xf numFmtId="2" fontId="15" fillId="3" borderId="6" xfId="0" applyNumberFormat="1" applyFont="1" applyFill="1" applyBorder="1" applyAlignment="1">
      <alignment horizontal="center" vertical="center"/>
    </xf>
    <xf numFmtId="2" fontId="15" fillId="3" borderId="15" xfId="0" applyNumberFormat="1" applyFont="1" applyFill="1" applyBorder="1" applyAlignment="1">
      <alignment horizontal="center" vertical="center"/>
    </xf>
    <xf numFmtId="168" fontId="15" fillId="0" borderId="14" xfId="5" applyNumberFormat="1" applyFont="1" applyBorder="1" applyAlignment="1">
      <alignment horizontal="center"/>
    </xf>
    <xf numFmtId="168" fontId="15" fillId="0" borderId="6" xfId="5" applyNumberFormat="1" applyFont="1" applyBorder="1" applyAlignment="1">
      <alignment horizontal="center"/>
    </xf>
    <xf numFmtId="168" fontId="15" fillId="0" borderId="15" xfId="5" applyNumberFormat="1" applyFont="1" applyBorder="1" applyAlignment="1">
      <alignment horizontal="center"/>
    </xf>
    <xf numFmtId="49" fontId="15" fillId="3" borderId="14" xfId="0" applyNumberFormat="1" applyFont="1" applyFill="1" applyBorder="1" applyAlignment="1">
      <alignment horizontal="center" vertical="center"/>
    </xf>
    <xf numFmtId="49" fontId="15" fillId="3" borderId="6" xfId="0" applyNumberFormat="1" applyFont="1" applyFill="1" applyBorder="1" applyAlignment="1">
      <alignment horizontal="center" vertical="center"/>
    </xf>
    <xf numFmtId="49" fontId="15" fillId="3" borderId="15" xfId="0" applyNumberFormat="1" applyFont="1" applyFill="1" applyBorder="1" applyAlignment="1">
      <alignment horizontal="center" vertical="center"/>
    </xf>
    <xf numFmtId="166" fontId="14" fillId="3" borderId="14" xfId="0" applyNumberFormat="1" applyFont="1" applyFill="1" applyBorder="1" applyAlignment="1">
      <alignment horizontal="center" vertical="center"/>
    </xf>
    <xf numFmtId="166" fontId="14" fillId="3" borderId="6" xfId="0" applyNumberFormat="1" applyFont="1" applyFill="1" applyBorder="1" applyAlignment="1">
      <alignment horizontal="center" vertical="center"/>
    </xf>
    <xf numFmtId="166" fontId="14" fillId="3" borderId="15" xfId="0" applyNumberFormat="1" applyFont="1" applyFill="1" applyBorder="1" applyAlignment="1">
      <alignment horizontal="center" vertical="center"/>
    </xf>
    <xf numFmtId="168" fontId="14" fillId="0" borderId="14" xfId="5" applyNumberFormat="1" applyFont="1" applyBorder="1" applyAlignment="1">
      <alignment horizontal="center" vertical="center"/>
    </xf>
    <xf numFmtId="168" fontId="14" fillId="0" borderId="6" xfId="5" applyNumberFormat="1" applyFont="1" applyBorder="1" applyAlignment="1">
      <alignment horizontal="center" vertical="center"/>
    </xf>
    <xf numFmtId="168" fontId="14" fillId="0" borderId="15" xfId="5" applyNumberFormat="1" applyFont="1" applyBorder="1" applyAlignment="1">
      <alignment horizontal="center" vertical="center"/>
    </xf>
    <xf numFmtId="9" fontId="44" fillId="3" borderId="14" xfId="5" applyFont="1" applyFill="1" applyBorder="1" applyAlignment="1" applyProtection="1">
      <alignment horizontal="center" vertical="center"/>
    </xf>
    <xf numFmtId="9" fontId="44" fillId="3" borderId="6" xfId="5" applyFont="1" applyFill="1" applyBorder="1" applyAlignment="1" applyProtection="1">
      <alignment horizontal="center" vertical="center"/>
    </xf>
    <xf numFmtId="9" fontId="44" fillId="3" borderId="15" xfId="5" applyFont="1" applyFill="1" applyBorder="1" applyAlignment="1" applyProtection="1">
      <alignment horizontal="center" vertical="center"/>
    </xf>
    <xf numFmtId="49" fontId="38" fillId="3" borderId="14" xfId="0" applyNumberFormat="1" applyFont="1" applyFill="1" applyBorder="1" applyAlignment="1">
      <alignment horizontal="center" vertical="center"/>
    </xf>
    <xf numFmtId="49" fontId="38" fillId="3" borderId="6" xfId="0" applyNumberFormat="1" applyFont="1" applyFill="1" applyBorder="1" applyAlignment="1">
      <alignment horizontal="center" vertical="center"/>
    </xf>
    <xf numFmtId="49" fontId="38" fillId="3" borderId="15" xfId="0" applyNumberFormat="1" applyFont="1" applyFill="1" applyBorder="1" applyAlignment="1">
      <alignment horizontal="center" vertical="center"/>
    </xf>
    <xf numFmtId="0" fontId="38" fillId="0" borderId="6" xfId="0" applyFont="1" applyBorder="1" applyAlignment="1">
      <alignment horizontal="center" vertical="center"/>
    </xf>
    <xf numFmtId="0" fontId="38" fillId="0" borderId="15" xfId="0" applyFont="1" applyBorder="1" applyAlignment="1">
      <alignment horizontal="center" vertical="center"/>
    </xf>
    <xf numFmtId="0" fontId="38" fillId="0" borderId="8" xfId="0" applyFont="1" applyBorder="1" applyAlignment="1">
      <alignment horizontal="center" vertical="center" wrapText="1"/>
    </xf>
    <xf numFmtId="0" fontId="38" fillId="0" borderId="17" xfId="0" applyFont="1" applyBorder="1" applyAlignment="1">
      <alignment wrapText="1"/>
    </xf>
    <xf numFmtId="0" fontId="38" fillId="0" borderId="9" xfId="0" applyFont="1" applyBorder="1" applyAlignment="1">
      <alignment wrapText="1"/>
    </xf>
    <xf numFmtId="0" fontId="38" fillId="0" borderId="17" xfId="0" applyFont="1" applyBorder="1" applyAlignment="1">
      <alignment horizontal="center" vertical="center" wrapText="1"/>
    </xf>
    <xf numFmtId="0" fontId="29" fillId="0" borderId="14" xfId="0" applyFont="1" applyBorder="1" applyAlignment="1">
      <alignment horizontal="center" vertical="center"/>
    </xf>
    <xf numFmtId="0" fontId="17" fillId="0" borderId="6" xfId="0" applyFont="1" applyBorder="1"/>
    <xf numFmtId="0" fontId="17" fillId="0" borderId="15" xfId="0" applyFont="1" applyBorder="1"/>
    <xf numFmtId="0" fontId="29" fillId="0" borderId="14" xfId="0" applyFont="1" applyBorder="1" applyAlignment="1">
      <alignment horizontal="center" vertical="center" wrapText="1"/>
    </xf>
    <xf numFmtId="0" fontId="29" fillId="0" borderId="6" xfId="0" applyFont="1" applyBorder="1" applyAlignment="1">
      <alignment horizontal="center" vertical="center" wrapText="1"/>
    </xf>
    <xf numFmtId="4" fontId="8" fillId="2" borderId="8" xfId="0" applyNumberFormat="1" applyFont="1" applyFill="1" applyBorder="1" applyAlignment="1" applyProtection="1">
      <alignment horizontal="center" vertical="center"/>
      <protection locked="0"/>
    </xf>
    <xf numFmtId="4" fontId="8" fillId="2" borderId="17" xfId="0" applyNumberFormat="1" applyFont="1" applyFill="1" applyBorder="1" applyAlignment="1" applyProtection="1">
      <alignment horizontal="center" vertical="center"/>
      <protection locked="0"/>
    </xf>
    <xf numFmtId="4" fontId="8" fillId="2" borderId="9" xfId="0" applyNumberFormat="1" applyFont="1" applyFill="1" applyBorder="1" applyAlignment="1" applyProtection="1">
      <alignment horizontal="center" vertical="center"/>
      <protection locked="0"/>
    </xf>
    <xf numFmtId="3" fontId="8" fillId="2" borderId="8" xfId="0" applyNumberFormat="1" applyFont="1" applyFill="1" applyBorder="1" applyAlignment="1" applyProtection="1">
      <alignment horizontal="center" vertical="center"/>
      <protection locked="0"/>
    </xf>
    <xf numFmtId="3" fontId="8" fillId="2" borderId="17" xfId="0" applyNumberFormat="1" applyFont="1" applyFill="1" applyBorder="1" applyAlignment="1" applyProtection="1">
      <alignment horizontal="center" vertical="center"/>
      <protection locked="0"/>
    </xf>
    <xf numFmtId="3" fontId="8" fillId="2" borderId="9" xfId="0" applyNumberFormat="1" applyFont="1" applyFill="1" applyBorder="1" applyAlignment="1" applyProtection="1">
      <alignment horizontal="center" vertical="center"/>
      <protection locked="0"/>
    </xf>
    <xf numFmtId="4" fontId="18" fillId="3" borderId="14" xfId="0" applyNumberFormat="1" applyFont="1" applyFill="1" applyBorder="1" applyAlignment="1">
      <alignment horizontal="center" vertical="center"/>
    </xf>
    <xf numFmtId="4" fontId="18" fillId="3" borderId="6" xfId="0" applyNumberFormat="1" applyFont="1" applyFill="1" applyBorder="1" applyAlignment="1">
      <alignment horizontal="center" vertical="center"/>
    </xf>
    <xf numFmtId="4" fontId="18" fillId="3" borderId="15" xfId="0" applyNumberFormat="1" applyFont="1" applyFill="1" applyBorder="1" applyAlignment="1">
      <alignment horizontal="center" vertical="center"/>
    </xf>
    <xf numFmtId="49" fontId="8" fillId="2" borderId="8" xfId="0" applyNumberFormat="1" applyFont="1" applyFill="1" applyBorder="1" applyAlignment="1" applyProtection="1">
      <alignment horizontal="center" vertical="center"/>
      <protection locked="0"/>
    </xf>
    <xf numFmtId="49" fontId="8" fillId="2" borderId="17" xfId="0" applyNumberFormat="1" applyFont="1" applyFill="1" applyBorder="1" applyAlignment="1" applyProtection="1">
      <alignment horizontal="center" vertical="center"/>
      <protection locked="0"/>
    </xf>
    <xf numFmtId="49" fontId="8" fillId="2" borderId="9" xfId="0" applyNumberFormat="1" applyFont="1" applyFill="1" applyBorder="1" applyAlignment="1" applyProtection="1">
      <alignment horizontal="center" vertical="center"/>
      <protection locked="0"/>
    </xf>
    <xf numFmtId="0" fontId="36" fillId="2" borderId="1" xfId="0" applyFont="1" applyFill="1" applyBorder="1" applyAlignment="1" applyProtection="1">
      <alignment horizontal="center" vertical="center"/>
      <protection locked="0"/>
    </xf>
    <xf numFmtId="4" fontId="17" fillId="3" borderId="6" xfId="0" applyNumberFormat="1" applyFont="1" applyFill="1" applyBorder="1" applyAlignment="1">
      <alignment horizontal="center" vertical="center"/>
    </xf>
    <xf numFmtId="4" fontId="17" fillId="3" borderId="15" xfId="0" applyNumberFormat="1" applyFont="1" applyFill="1" applyBorder="1" applyAlignment="1">
      <alignment horizontal="center" vertical="center"/>
    </xf>
    <xf numFmtId="0" fontId="10" fillId="3" borderId="1" xfId="0" applyFont="1" applyFill="1" applyBorder="1" applyAlignment="1">
      <alignment horizontal="center"/>
    </xf>
    <xf numFmtId="3" fontId="14" fillId="0" borderId="1" xfId="0" applyNumberFormat="1" applyFont="1" applyBorder="1" applyAlignment="1">
      <alignment horizontal="center" vertical="center"/>
    </xf>
    <xf numFmtId="0" fontId="63" fillId="0" borderId="1" xfId="0" applyFont="1" applyBorder="1" applyAlignment="1">
      <alignment horizontal="center" vertical="center" wrapText="1"/>
    </xf>
    <xf numFmtId="0" fontId="38" fillId="0" borderId="17" xfId="0" applyFont="1" applyBorder="1" applyAlignment="1">
      <alignment vertical="center" wrapText="1"/>
    </xf>
    <xf numFmtId="0" fontId="38" fillId="0" borderId="9" xfId="0" applyFont="1" applyBorder="1" applyAlignment="1">
      <alignment vertical="center" wrapText="1"/>
    </xf>
    <xf numFmtId="0" fontId="63" fillId="0" borderId="1" xfId="0" applyFont="1" applyBorder="1" applyAlignment="1">
      <alignment horizontal="center" vertical="center"/>
    </xf>
    <xf numFmtId="3" fontId="10" fillId="0" borderId="14" xfId="0" applyNumberFormat="1" applyFont="1" applyBorder="1" applyAlignment="1">
      <alignment horizontal="center" vertical="center"/>
    </xf>
    <xf numFmtId="3" fontId="10" fillId="0" borderId="6" xfId="0" applyNumberFormat="1" applyFont="1" applyBorder="1" applyAlignment="1">
      <alignment horizontal="center"/>
    </xf>
    <xf numFmtId="3" fontId="10" fillId="0" borderId="15" xfId="0" applyNumberFormat="1" applyFont="1" applyBorder="1" applyAlignment="1">
      <alignment horizontal="center"/>
    </xf>
    <xf numFmtId="49" fontId="17" fillId="0" borderId="14" xfId="0" applyNumberFormat="1" applyFont="1" applyBorder="1" applyAlignment="1">
      <alignment horizontal="center" vertical="center" wrapText="1"/>
    </xf>
    <xf numFmtId="0" fontId="17" fillId="0" borderId="6" xfId="0" applyFont="1" applyBorder="1" applyAlignment="1">
      <alignment vertical="center"/>
    </xf>
    <xf numFmtId="4" fontId="17" fillId="3" borderId="6" xfId="0" applyNumberFormat="1" applyFont="1" applyFill="1" applyBorder="1" applyAlignment="1">
      <alignment horizontal="center"/>
    </xf>
    <xf numFmtId="4" fontId="17" fillId="3" borderId="15" xfId="0" applyNumberFormat="1" applyFont="1" applyFill="1" applyBorder="1" applyAlignment="1">
      <alignment horizontal="center"/>
    </xf>
    <xf numFmtId="49" fontId="5" fillId="0" borderId="18" xfId="0" applyNumberFormat="1" applyFont="1" applyBorder="1" applyAlignment="1" applyProtection="1">
      <alignment horizontal="center" vertical="center"/>
      <protection locked="0"/>
    </xf>
    <xf numFmtId="4" fontId="38" fillId="2" borderId="8" xfId="0" applyNumberFormat="1" applyFont="1" applyFill="1" applyBorder="1" applyAlignment="1" applyProtection="1">
      <alignment horizontal="center" vertical="center"/>
      <protection locked="0"/>
    </xf>
    <xf numFmtId="4" fontId="38" fillId="2" borderId="17" xfId="0" applyNumberFormat="1" applyFont="1" applyFill="1" applyBorder="1" applyAlignment="1" applyProtection="1">
      <alignment horizontal="center" vertical="center"/>
      <protection locked="0"/>
    </xf>
    <xf numFmtId="4" fontId="38" fillId="2" borderId="9" xfId="0" applyNumberFormat="1" applyFont="1" applyFill="1" applyBorder="1" applyAlignment="1" applyProtection="1">
      <alignment horizontal="center" vertical="center"/>
      <protection locked="0"/>
    </xf>
    <xf numFmtId="0" fontId="38" fillId="8" borderId="1" xfId="0" applyFont="1" applyFill="1" applyBorder="1" applyAlignment="1" applyProtection="1">
      <alignment horizontal="center" vertical="center"/>
      <protection locked="0"/>
    </xf>
    <xf numFmtId="0" fontId="38" fillId="0" borderId="8" xfId="0" applyFont="1" applyBorder="1" applyAlignment="1">
      <alignment horizontal="center" vertical="center"/>
    </xf>
    <xf numFmtId="0" fontId="38" fillId="0" borderId="17" xfId="0" applyFont="1" applyBorder="1"/>
    <xf numFmtId="0" fontId="38" fillId="0" borderId="9" xfId="0" applyFont="1" applyBorder="1"/>
    <xf numFmtId="0" fontId="38" fillId="0" borderId="9" xfId="0" applyFont="1" applyBorder="1" applyAlignment="1">
      <alignment horizontal="center" vertical="center" wrapText="1"/>
    </xf>
    <xf numFmtId="49" fontId="17" fillId="0" borderId="6" xfId="0" applyNumberFormat="1" applyFont="1" applyBorder="1" applyAlignment="1">
      <alignment horizontal="center" vertical="center" wrapText="1"/>
    </xf>
    <xf numFmtId="0" fontId="63" fillId="2" borderId="1" xfId="0" applyFont="1" applyFill="1" applyBorder="1" applyAlignment="1" applyProtection="1">
      <alignment horizontal="center" vertical="center"/>
      <protection locked="0"/>
    </xf>
    <xf numFmtId="167" fontId="38" fillId="2" borderId="1" xfId="0" applyNumberFormat="1" applyFont="1" applyFill="1" applyBorder="1" applyAlignment="1" applyProtection="1">
      <alignment horizontal="center" vertical="center"/>
      <protection locked="0"/>
    </xf>
    <xf numFmtId="4" fontId="25" fillId="3" borderId="14" xfId="0" applyNumberFormat="1" applyFont="1" applyFill="1" applyBorder="1" applyAlignment="1">
      <alignment horizontal="center" vertical="center"/>
    </xf>
    <xf numFmtId="4" fontId="10" fillId="3" borderId="6" xfId="0" applyNumberFormat="1" applyFont="1" applyFill="1" applyBorder="1" applyAlignment="1">
      <alignment horizontal="center" vertical="center"/>
    </xf>
    <xf numFmtId="4" fontId="10" fillId="3" borderId="15" xfId="0" applyNumberFormat="1" applyFont="1" applyFill="1" applyBorder="1" applyAlignment="1">
      <alignment horizontal="center" vertical="center"/>
    </xf>
    <xf numFmtId="0" fontId="31" fillId="13" borderId="0" xfId="0" applyFont="1" applyFill="1" applyAlignment="1">
      <alignment horizontal="center" vertical="center" wrapText="1"/>
    </xf>
    <xf numFmtId="49" fontId="5" fillId="0" borderId="1" xfId="0" applyNumberFormat="1" applyFont="1" applyBorder="1" applyAlignment="1">
      <alignment horizontal="center" vertical="center"/>
    </xf>
    <xf numFmtId="0" fontId="38" fillId="0" borderId="17" xfId="0" applyFont="1" applyBorder="1" applyAlignment="1">
      <alignment horizontal="center" vertical="center"/>
    </xf>
    <xf numFmtId="0" fontId="38" fillId="0" borderId="9" xfId="0" applyFont="1" applyBorder="1" applyAlignment="1">
      <alignment horizontal="center" vertical="center"/>
    </xf>
    <xf numFmtId="0" fontId="38" fillId="0" borderId="18" xfId="0" applyFont="1" applyBorder="1" applyAlignment="1">
      <alignment horizontal="center" vertical="center"/>
    </xf>
    <xf numFmtId="49" fontId="5" fillId="0" borderId="8" xfId="0" applyNumberFormat="1" applyFont="1" applyBorder="1" applyAlignment="1">
      <alignment horizontal="center" vertical="center"/>
    </xf>
    <xf numFmtId="49" fontId="5" fillId="0" borderId="17" xfId="0" applyNumberFormat="1" applyFont="1" applyBorder="1" applyAlignment="1">
      <alignment horizontal="center" vertical="center"/>
    </xf>
    <xf numFmtId="49" fontId="5" fillId="0" borderId="9" xfId="0" applyNumberFormat="1" applyFont="1" applyBorder="1" applyAlignment="1">
      <alignment horizontal="center" vertical="center"/>
    </xf>
    <xf numFmtId="0" fontId="38" fillId="8" borderId="14" xfId="0" applyFont="1" applyFill="1" applyBorder="1" applyAlignment="1" applyProtection="1">
      <alignment horizontal="center" vertical="center"/>
      <protection locked="0"/>
    </xf>
    <xf numFmtId="0" fontId="38" fillId="8" borderId="6" xfId="0" applyFont="1" applyFill="1" applyBorder="1" applyAlignment="1" applyProtection="1">
      <alignment horizontal="center" vertical="center"/>
      <protection locked="0"/>
    </xf>
    <xf numFmtId="0" fontId="38" fillId="8" borderId="15" xfId="0" applyFont="1" applyFill="1" applyBorder="1" applyAlignment="1" applyProtection="1">
      <alignment horizontal="center" vertical="center"/>
      <protection locked="0"/>
    </xf>
    <xf numFmtId="0" fontId="63" fillId="0" borderId="8" xfId="0" applyFont="1" applyBorder="1" applyAlignment="1">
      <alignment horizontal="center" vertical="center"/>
    </xf>
    <xf numFmtId="0" fontId="63" fillId="0" borderId="17" xfId="0" applyFont="1" applyBorder="1" applyAlignment="1">
      <alignment horizontal="center" vertical="center"/>
    </xf>
    <xf numFmtId="0" fontId="63" fillId="0" borderId="9" xfId="0" applyFont="1" applyBorder="1" applyAlignment="1">
      <alignment horizontal="center" vertical="center"/>
    </xf>
    <xf numFmtId="0" fontId="38" fillId="2" borderId="14" xfId="0" applyFont="1" applyFill="1" applyBorder="1" applyAlignment="1" applyProtection="1">
      <alignment horizontal="center" vertical="center"/>
      <protection locked="0"/>
    </xf>
    <xf numFmtId="0" fontId="38" fillId="2" borderId="6" xfId="0" applyFont="1" applyFill="1" applyBorder="1" applyAlignment="1" applyProtection="1">
      <alignment horizontal="center" vertical="center"/>
      <protection locked="0"/>
    </xf>
    <xf numFmtId="0" fontId="38" fillId="2" borderId="15" xfId="0" applyFont="1" applyFill="1" applyBorder="1" applyAlignment="1" applyProtection="1">
      <alignment horizontal="center" vertical="center"/>
      <protection locked="0"/>
    </xf>
    <xf numFmtId="167" fontId="10" fillId="0" borderId="1" xfId="0" applyNumberFormat="1" applyFont="1" applyBorder="1" applyAlignment="1">
      <alignment horizontal="center" vertical="center"/>
    </xf>
    <xf numFmtId="0" fontId="39" fillId="3" borderId="1" xfId="0" applyFont="1" applyFill="1" applyBorder="1" applyAlignment="1">
      <alignment horizontal="center" vertical="center"/>
    </xf>
    <xf numFmtId="49" fontId="17" fillId="3" borderId="14" xfId="0" applyNumberFormat="1" applyFont="1" applyFill="1" applyBorder="1" applyAlignment="1">
      <alignment horizontal="center" vertical="center"/>
    </xf>
    <xf numFmtId="49" fontId="17" fillId="3" borderId="6" xfId="0" applyNumberFormat="1" applyFont="1" applyFill="1" applyBorder="1" applyAlignment="1">
      <alignment horizontal="center" vertical="center"/>
    </xf>
    <xf numFmtId="49" fontId="17" fillId="3" borderId="15" xfId="0" applyNumberFormat="1" applyFont="1" applyFill="1" applyBorder="1" applyAlignment="1">
      <alignment horizontal="center" vertical="center"/>
    </xf>
    <xf numFmtId="49" fontId="38" fillId="2" borderId="1" xfId="0" applyNumberFormat="1" applyFont="1" applyFill="1" applyBorder="1" applyAlignment="1" applyProtection="1">
      <alignment horizontal="left" vertical="center"/>
      <protection locked="0"/>
    </xf>
    <xf numFmtId="0" fontId="38" fillId="0" borderId="0" xfId="0" applyFont="1" applyAlignment="1">
      <alignment horizontal="left" vertical="center"/>
    </xf>
    <xf numFmtId="0" fontId="38" fillId="0" borderId="1" xfId="0" applyFont="1" applyBorder="1" applyAlignment="1">
      <alignment horizontal="center" vertical="center" wrapText="1"/>
    </xf>
    <xf numFmtId="0" fontId="38" fillId="0" borderId="0" xfId="0" applyFont="1" applyAlignment="1">
      <alignment horizontal="center" vertical="center" wrapText="1"/>
    </xf>
    <xf numFmtId="0" fontId="0" fillId="0" borderId="0" xfId="0" applyAlignment="1">
      <alignment horizontal="center" vertical="center"/>
    </xf>
    <xf numFmtId="49" fontId="5" fillId="0" borderId="14" xfId="0" applyNumberFormat="1" applyFont="1" applyBorder="1" applyAlignment="1">
      <alignment horizontal="center" vertical="center"/>
    </xf>
    <xf numFmtId="49" fontId="5" fillId="0" borderId="6" xfId="0" applyNumberFormat="1" applyFont="1" applyBorder="1" applyAlignment="1">
      <alignment horizontal="center" vertical="center"/>
    </xf>
    <xf numFmtId="49" fontId="5" fillId="0" borderId="15" xfId="0" applyNumberFormat="1" applyFont="1" applyBorder="1" applyAlignment="1">
      <alignment horizontal="center" vertical="center"/>
    </xf>
    <xf numFmtId="49" fontId="38" fillId="3" borderId="1" xfId="0" applyNumberFormat="1" applyFont="1" applyFill="1" applyBorder="1" applyAlignment="1">
      <alignment horizontal="center" vertical="center" wrapText="1"/>
    </xf>
    <xf numFmtId="49" fontId="38" fillId="3" borderId="1" xfId="0" applyNumberFormat="1" applyFont="1" applyFill="1" applyBorder="1" applyAlignment="1">
      <alignment horizontal="center" vertical="center"/>
    </xf>
    <xf numFmtId="168" fontId="38" fillId="2" borderId="1" xfId="5" applyNumberFormat="1" applyFont="1" applyFill="1" applyBorder="1" applyAlignment="1" applyProtection="1">
      <alignment horizontal="center" vertical="center"/>
      <protection locked="0"/>
    </xf>
    <xf numFmtId="0" fontId="7" fillId="0" borderId="14" xfId="0" applyFont="1" applyBorder="1" applyAlignment="1">
      <alignment horizontal="center" vertical="center"/>
    </xf>
    <xf numFmtId="0" fontId="7" fillId="0" borderId="6" xfId="0" applyFont="1" applyBorder="1" applyAlignment="1">
      <alignment horizontal="center" vertical="center"/>
    </xf>
    <xf numFmtId="0" fontId="7" fillId="0" borderId="15" xfId="0" applyFont="1" applyBorder="1" applyAlignment="1">
      <alignment horizontal="center" vertical="center"/>
    </xf>
    <xf numFmtId="0" fontId="31" fillId="14" borderId="0" xfId="0" applyFont="1" applyFill="1" applyAlignment="1">
      <alignment horizontal="center" vertical="center" wrapText="1"/>
    </xf>
    <xf numFmtId="2" fontId="10" fillId="3" borderId="14" xfId="0" applyNumberFormat="1" applyFont="1" applyFill="1" applyBorder="1" applyAlignment="1">
      <alignment horizontal="center" vertical="center"/>
    </xf>
    <xf numFmtId="2" fontId="10" fillId="3" borderId="6" xfId="0" applyNumberFormat="1" applyFont="1" applyFill="1" applyBorder="1" applyAlignment="1">
      <alignment horizontal="center" vertical="center"/>
    </xf>
    <xf numFmtId="2" fontId="10" fillId="3" borderId="15" xfId="0" applyNumberFormat="1" applyFont="1" applyFill="1" applyBorder="1" applyAlignment="1">
      <alignment horizontal="center" vertical="center"/>
    </xf>
    <xf numFmtId="49" fontId="38" fillId="3" borderId="8" xfId="0" applyNumberFormat="1" applyFont="1" applyFill="1" applyBorder="1" applyAlignment="1">
      <alignment horizontal="center" vertical="center"/>
    </xf>
    <xf numFmtId="49" fontId="38" fillId="3" borderId="17" xfId="0" applyNumberFormat="1" applyFont="1" applyFill="1" applyBorder="1" applyAlignment="1">
      <alignment horizontal="center" vertical="center"/>
    </xf>
    <xf numFmtId="49" fontId="38" fillId="3" borderId="9" xfId="0" applyNumberFormat="1" applyFont="1" applyFill="1" applyBorder="1" applyAlignment="1">
      <alignment horizontal="center" vertical="center"/>
    </xf>
    <xf numFmtId="0" fontId="17" fillId="7" borderId="1" xfId="0" applyFont="1" applyFill="1" applyBorder="1" applyAlignment="1" applyProtection="1">
      <alignment horizontal="center" vertical="center"/>
      <protection locked="0"/>
    </xf>
    <xf numFmtId="0" fontId="16" fillId="0" borderId="1" xfId="0" applyFont="1" applyBorder="1" applyAlignment="1">
      <alignment horizontal="center" vertical="center"/>
    </xf>
    <xf numFmtId="49" fontId="10" fillId="0" borderId="0" xfId="0" applyNumberFormat="1" applyFont="1" applyAlignment="1">
      <alignment horizontal="left" vertical="top" wrapText="1"/>
    </xf>
    <xf numFmtId="0" fontId="16" fillId="0" borderId="1" xfId="0" applyFont="1" applyBorder="1" applyAlignment="1">
      <alignment horizontal="left" vertical="top" wrapText="1"/>
    </xf>
    <xf numFmtId="0" fontId="5" fillId="2" borderId="1" xfId="0" applyFont="1" applyFill="1" applyBorder="1" applyAlignment="1" applyProtection="1">
      <alignment horizontal="left" vertical="top"/>
      <protection locked="0"/>
    </xf>
    <xf numFmtId="168" fontId="8" fillId="0" borderId="0" xfId="5" applyNumberFormat="1" applyFont="1" applyBorder="1" applyAlignment="1">
      <alignment horizontal="right" vertical="center"/>
    </xf>
    <xf numFmtId="0" fontId="24" fillId="7" borderId="0" xfId="0" applyFont="1" applyFill="1" applyAlignment="1" applyProtection="1">
      <alignment horizontal="center"/>
      <protection locked="0"/>
    </xf>
    <xf numFmtId="0" fontId="17" fillId="8" borderId="1" xfId="0" applyFont="1" applyFill="1" applyBorder="1" applyAlignment="1" applyProtection="1">
      <alignment horizontal="center" vertical="center" wrapText="1"/>
      <protection locked="0"/>
    </xf>
    <xf numFmtId="0" fontId="16" fillId="0" borderId="1" xfId="0" applyFont="1" applyBorder="1" applyAlignment="1">
      <alignment horizontal="center" vertical="center" wrapText="1"/>
    </xf>
    <xf numFmtId="0" fontId="75" fillId="0" borderId="18" xfId="0" applyFont="1" applyBorder="1" applyAlignment="1">
      <alignment horizontal="center" vertical="center" wrapText="1"/>
    </xf>
    <xf numFmtId="0" fontId="75" fillId="0" borderId="4" xfId="0" applyFont="1" applyBorder="1" applyAlignment="1">
      <alignment horizontal="center" vertical="center" wrapText="1"/>
    </xf>
    <xf numFmtId="0" fontId="76" fillId="0" borderId="18" xfId="0" applyFont="1" applyBorder="1" applyAlignment="1">
      <alignment horizontal="center" vertical="center" wrapText="1"/>
    </xf>
    <xf numFmtId="0" fontId="76" fillId="0" borderId="3" xfId="0" applyFont="1" applyBorder="1" applyAlignment="1">
      <alignment horizontal="center" vertical="center" wrapText="1"/>
    </xf>
    <xf numFmtId="0" fontId="76" fillId="0" borderId="4" xfId="0" applyFont="1" applyBorder="1" applyAlignment="1">
      <alignment horizontal="center" vertical="center" wrapText="1"/>
    </xf>
    <xf numFmtId="0" fontId="80" fillId="0" borderId="1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5" fillId="0" borderId="18" xfId="0" applyFont="1" applyBorder="1" applyAlignment="1">
      <alignment horizontal="left" vertical="center" wrapText="1"/>
    </xf>
    <xf numFmtId="0" fontId="75" fillId="0" borderId="3" xfId="0" applyFont="1" applyBorder="1" applyAlignment="1">
      <alignment horizontal="left" vertical="center" wrapText="1"/>
    </xf>
    <xf numFmtId="0" fontId="75" fillId="0" borderId="4" xfId="0" applyFont="1" applyBorder="1" applyAlignment="1">
      <alignment horizontal="left" vertical="center" wrapText="1"/>
    </xf>
    <xf numFmtId="0" fontId="75" fillId="7" borderId="14" xfId="0" applyFont="1" applyFill="1" applyBorder="1" applyAlignment="1" applyProtection="1">
      <alignment horizontal="center" vertical="center" wrapText="1"/>
      <protection locked="0"/>
    </xf>
    <xf numFmtId="0" fontId="75" fillId="7" borderId="15" xfId="0" applyFont="1" applyFill="1" applyBorder="1" applyAlignment="1" applyProtection="1">
      <alignment horizontal="center" vertical="center" wrapText="1"/>
      <protection locked="0"/>
    </xf>
    <xf numFmtId="0" fontId="73" fillId="0" borderId="1" xfId="0" applyFont="1" applyBorder="1" applyAlignment="1">
      <alignment horizontal="left" vertical="center" wrapText="1"/>
    </xf>
    <xf numFmtId="0" fontId="73" fillId="0" borderId="18" xfId="0" applyFont="1" applyBorder="1" applyAlignment="1">
      <alignment horizontal="left" vertical="center" wrapText="1"/>
    </xf>
    <xf numFmtId="0" fontId="73" fillId="0" borderId="3" xfId="0" applyFont="1" applyBorder="1" applyAlignment="1">
      <alignment horizontal="left" vertical="center" wrapText="1"/>
    </xf>
    <xf numFmtId="0" fontId="73" fillId="0" borderId="4" xfId="0" applyFont="1" applyBorder="1" applyAlignment="1">
      <alignment horizontal="left" vertical="center" wrapText="1"/>
    </xf>
    <xf numFmtId="0" fontId="72" fillId="0" borderId="0" xfId="0" applyFont="1" applyAlignment="1">
      <alignment horizontal="center"/>
    </xf>
    <xf numFmtId="0" fontId="58" fillId="3" borderId="14" xfId="0" quotePrefix="1" applyFont="1" applyFill="1" applyBorder="1" applyAlignment="1">
      <alignment horizontal="left" vertical="top" wrapText="1"/>
    </xf>
    <xf numFmtId="0" fontId="58" fillId="3" borderId="6" xfId="0" applyFont="1" applyFill="1" applyBorder="1" applyAlignment="1">
      <alignment horizontal="left" vertical="top" wrapText="1"/>
    </xf>
    <xf numFmtId="0" fontId="58" fillId="7" borderId="1" xfId="0" applyFont="1" applyFill="1" applyBorder="1" applyAlignment="1" applyProtection="1">
      <alignment horizontal="left" vertical="top" wrapText="1"/>
      <protection locked="0"/>
    </xf>
    <xf numFmtId="0" fontId="58" fillId="3" borderId="14" xfId="0" applyFont="1" applyFill="1" applyBorder="1" applyAlignment="1">
      <alignment horizontal="left" vertical="top" wrapText="1"/>
    </xf>
    <xf numFmtId="0" fontId="73" fillId="0" borderId="18" xfId="0" applyFont="1" applyBorder="1" applyAlignment="1">
      <alignment horizontal="center" vertical="center" wrapText="1"/>
    </xf>
    <xf numFmtId="0" fontId="73" fillId="0" borderId="4" xfId="0" applyFont="1" applyBorder="1" applyAlignment="1">
      <alignment horizontal="center" vertical="center" wrapText="1"/>
    </xf>
    <xf numFmtId="0" fontId="1" fillId="0" borderId="0" xfId="0" applyFont="1" applyAlignment="1">
      <alignment horizontal="right" vertical="center"/>
    </xf>
    <xf numFmtId="0" fontId="73" fillId="0" borderId="0" xfId="0" applyFont="1" applyAlignment="1">
      <alignment horizontal="right" vertical="center"/>
    </xf>
    <xf numFmtId="0" fontId="78" fillId="0" borderId="14" xfId="0" applyFont="1" applyBorder="1" applyAlignment="1">
      <alignment horizontal="center" vertical="center"/>
    </xf>
    <xf numFmtId="0" fontId="78" fillId="0" borderId="15" xfId="0" applyFont="1" applyBorder="1" applyAlignment="1">
      <alignment horizontal="center" vertical="center"/>
    </xf>
    <xf numFmtId="43" fontId="75" fillId="0" borderId="0" xfId="2" applyFont="1" applyAlignment="1">
      <alignment horizontal="center"/>
    </xf>
    <xf numFmtId="43" fontId="73" fillId="0" borderId="14" xfId="2" applyFont="1" applyBorder="1" applyAlignment="1">
      <alignment horizontal="center" vertical="center"/>
    </xf>
    <xf numFmtId="43" fontId="73" fillId="0" borderId="15" xfId="2" applyFont="1" applyBorder="1" applyAlignment="1">
      <alignment horizontal="center" vertical="center"/>
    </xf>
    <xf numFmtId="0" fontId="74" fillId="0" borderId="0" xfId="0" applyFont="1" applyAlignment="1">
      <alignment horizontal="right"/>
    </xf>
    <xf numFmtId="0" fontId="58" fillId="3" borderId="6" xfId="0" quotePrefix="1" applyFont="1" applyFill="1" applyBorder="1" applyAlignment="1">
      <alignment horizontal="left" vertical="top" wrapText="1"/>
    </xf>
    <xf numFmtId="0" fontId="58" fillId="3" borderId="15" xfId="0" quotePrefix="1" applyFont="1" applyFill="1" applyBorder="1" applyAlignment="1">
      <alignment horizontal="left" vertical="top" wrapText="1"/>
    </xf>
    <xf numFmtId="0" fontId="97" fillId="0" borderId="0" xfId="0" applyFont="1" applyAlignment="1">
      <alignment horizontal="right" vertical="center"/>
    </xf>
    <xf numFmtId="2" fontId="100" fillId="0" borderId="0" xfId="2" applyNumberFormat="1" applyFont="1" applyAlignment="1">
      <alignment horizontal="center" vertical="center" wrapText="1"/>
    </xf>
    <xf numFmtId="0" fontId="100" fillId="0" borderId="0" xfId="0" applyFont="1" applyAlignment="1">
      <alignment horizontal="center" vertical="center" wrapText="1"/>
    </xf>
    <xf numFmtId="0" fontId="74" fillId="0" borderId="0" xfId="0" applyFont="1" applyAlignment="1">
      <alignment horizontal="left" vertical="center" wrapText="1"/>
    </xf>
    <xf numFmtId="0" fontId="73" fillId="8" borderId="14" xfId="0" applyFont="1" applyFill="1" applyBorder="1" applyAlignment="1" applyProtection="1">
      <alignment horizontal="center" vertical="center"/>
      <protection locked="0"/>
    </xf>
    <xf numFmtId="0" fontId="73" fillId="8" borderId="15" xfId="0" applyFont="1" applyFill="1" applyBorder="1" applyAlignment="1" applyProtection="1">
      <alignment horizontal="center" vertical="center"/>
      <protection locked="0"/>
    </xf>
    <xf numFmtId="43" fontId="73" fillId="0" borderId="14" xfId="0" applyNumberFormat="1" applyFont="1" applyBorder="1" applyAlignment="1">
      <alignment horizontal="center" vertical="center"/>
    </xf>
    <xf numFmtId="0" fontId="73" fillId="0" borderId="15" xfId="0" applyFont="1" applyBorder="1" applyAlignment="1">
      <alignment horizontal="center" vertical="center"/>
    </xf>
    <xf numFmtId="43" fontId="5" fillId="7" borderId="14" xfId="2" applyFont="1" applyFill="1" applyBorder="1" applyAlignment="1" applyProtection="1">
      <alignment horizontal="center" vertical="center" wrapText="1"/>
      <protection locked="0"/>
    </xf>
    <xf numFmtId="43" fontId="5" fillId="7" borderId="6" xfId="2" applyFont="1" applyFill="1" applyBorder="1" applyAlignment="1" applyProtection="1">
      <alignment horizontal="center" vertical="center" wrapText="1"/>
      <protection locked="0"/>
    </xf>
    <xf numFmtId="43" fontId="5" fillId="7" borderId="15" xfId="2" applyFont="1" applyFill="1" applyBorder="1" applyAlignment="1" applyProtection="1">
      <alignment horizontal="center" vertical="center" wrapText="1"/>
      <protection locked="0"/>
    </xf>
    <xf numFmtId="0" fontId="5" fillId="0" borderId="14" xfId="0" applyFont="1" applyBorder="1" applyAlignment="1">
      <alignment horizontal="right" vertical="center"/>
    </xf>
    <xf numFmtId="0" fontId="5" fillId="0" borderId="6" xfId="0" applyFont="1" applyBorder="1" applyAlignment="1">
      <alignment horizontal="right" vertical="center"/>
    </xf>
    <xf numFmtId="43" fontId="5" fillId="0" borderId="14" xfId="2" applyFont="1" applyFill="1" applyBorder="1" applyAlignment="1">
      <alignment horizontal="center" vertical="center" wrapText="1"/>
    </xf>
    <xf numFmtId="43" fontId="5" fillId="0" borderId="6" xfId="2" applyFont="1" applyFill="1" applyBorder="1" applyAlignment="1">
      <alignment horizontal="center" vertical="center" wrapText="1"/>
    </xf>
    <xf numFmtId="43" fontId="5" fillId="0" borderId="15" xfId="2" applyFont="1" applyFill="1" applyBorder="1" applyAlignment="1">
      <alignment horizontal="center" vertical="center" wrapText="1"/>
    </xf>
    <xf numFmtId="49" fontId="19" fillId="0" borderId="1" xfId="0" applyNumberFormat="1" applyFont="1" applyBorder="1" applyAlignment="1">
      <alignment horizontal="left" vertical="center" wrapText="1"/>
    </xf>
    <xf numFmtId="49" fontId="19" fillId="0" borderId="4" xfId="0" applyNumberFormat="1" applyFont="1" applyBorder="1" applyAlignment="1">
      <alignment vertical="center" wrapText="1"/>
    </xf>
    <xf numFmtId="49" fontId="19" fillId="0" borderId="1" xfId="0" applyNumberFormat="1" applyFont="1" applyBorder="1" applyAlignment="1">
      <alignment vertical="center" wrapText="1"/>
    </xf>
    <xf numFmtId="49" fontId="8" fillId="0" borderId="1" xfId="0" applyNumberFormat="1" applyFont="1" applyBorder="1" applyAlignment="1">
      <alignment horizontal="center" vertical="center" wrapText="1"/>
    </xf>
    <xf numFmtId="49" fontId="16" fillId="7" borderId="1" xfId="0" applyNumberFormat="1" applyFont="1" applyFill="1" applyBorder="1" applyAlignment="1" applyProtection="1">
      <alignment horizontal="center" vertical="center" wrapText="1"/>
      <protection locked="0"/>
    </xf>
    <xf numFmtId="49" fontId="19"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166" fontId="16" fillId="0" borderId="1" xfId="0" applyNumberFormat="1" applyFont="1" applyBorder="1" applyAlignment="1">
      <alignment horizontal="center" vertical="center" wrapText="1"/>
    </xf>
    <xf numFmtId="49" fontId="34" fillId="2" borderId="8" xfId="0" applyNumberFormat="1" applyFont="1" applyFill="1" applyBorder="1" applyAlignment="1" applyProtection="1">
      <alignment horizontal="left" vertical="center" wrapText="1"/>
      <protection locked="0"/>
    </xf>
    <xf numFmtId="49" fontId="34" fillId="2" borderId="17" xfId="0" applyNumberFormat="1" applyFont="1" applyFill="1" applyBorder="1" applyAlignment="1" applyProtection="1">
      <alignment horizontal="left" vertical="center" wrapText="1"/>
      <protection locked="0"/>
    </xf>
    <xf numFmtId="49" fontId="34" fillId="2" borderId="9" xfId="0" applyNumberFormat="1" applyFont="1" applyFill="1" applyBorder="1" applyAlignment="1" applyProtection="1">
      <alignment horizontal="left" vertical="center" wrapText="1"/>
      <protection locked="0"/>
    </xf>
    <xf numFmtId="49" fontId="5" fillId="0" borderId="1" xfId="0" applyNumberFormat="1" applyFont="1" applyBorder="1" applyAlignment="1">
      <alignment horizontal="center" vertical="center" wrapText="1"/>
    </xf>
    <xf numFmtId="49" fontId="10" fillId="3" borderId="2" xfId="0" applyNumberFormat="1" applyFont="1" applyFill="1" applyBorder="1" applyAlignment="1">
      <alignment horizontal="center"/>
    </xf>
    <xf numFmtId="0" fontId="16" fillId="0" borderId="0" xfId="0" applyFont="1" applyAlignment="1">
      <alignment horizontal="center"/>
    </xf>
    <xf numFmtId="0" fontId="16" fillId="0" borderId="14" xfId="0" applyFont="1" applyBorder="1" applyAlignment="1">
      <alignment horizontal="center" vertical="center" wrapText="1"/>
    </xf>
    <xf numFmtId="0" fontId="16" fillId="0" borderId="6" xfId="0" applyFont="1" applyBorder="1" applyAlignment="1">
      <alignment horizontal="center" vertical="center" wrapText="1"/>
    </xf>
    <xf numFmtId="0" fontId="35" fillId="0" borderId="0" xfId="0" applyFont="1" applyAlignment="1">
      <alignment horizontal="center" vertical="center"/>
    </xf>
    <xf numFmtId="0" fontId="17" fillId="0" borderId="1" xfId="0" applyFont="1" applyBorder="1" applyAlignment="1">
      <alignment horizontal="center" vertical="center"/>
    </xf>
    <xf numFmtId="0" fontId="19" fillId="0" borderId="1" xfId="0" applyFont="1" applyBorder="1" applyAlignment="1">
      <alignment horizontal="center" vertical="center" wrapText="1"/>
    </xf>
    <xf numFmtId="164" fontId="5" fillId="0" borderId="1" xfId="0" applyNumberFormat="1" applyFont="1" applyBorder="1" applyAlignment="1">
      <alignment horizontal="right" vertical="center" wrapText="1"/>
    </xf>
    <xf numFmtId="164" fontId="5" fillId="2" borderId="1" xfId="0" applyNumberFormat="1" applyFont="1" applyFill="1" applyBorder="1" applyAlignment="1" applyProtection="1">
      <alignment horizontal="right" vertical="center" wrapText="1"/>
      <protection locked="0"/>
    </xf>
    <xf numFmtId="164" fontId="16" fillId="0" borderId="1" xfId="0" applyNumberFormat="1" applyFont="1" applyBorder="1" applyAlignment="1">
      <alignment horizontal="right" vertical="center" wrapText="1"/>
    </xf>
    <xf numFmtId="49" fontId="5" fillId="2" borderId="1" xfId="0" applyNumberFormat="1" applyFont="1" applyFill="1" applyBorder="1" applyAlignment="1" applyProtection="1">
      <alignment horizontal="center" vertical="center" wrapText="1"/>
      <protection locked="0"/>
    </xf>
    <xf numFmtId="49" fontId="19" fillId="0" borderId="8" xfId="0" applyNumberFormat="1" applyFont="1" applyBorder="1" applyAlignment="1">
      <alignment horizontal="right" vertical="center" wrapText="1"/>
    </xf>
    <xf numFmtId="49" fontId="19" fillId="0" borderId="17" xfId="0" applyNumberFormat="1" applyFont="1" applyBorder="1" applyAlignment="1">
      <alignment horizontal="right" vertical="center" wrapText="1"/>
    </xf>
    <xf numFmtId="164" fontId="16" fillId="0" borderId="8" xfId="0" applyNumberFormat="1" applyFont="1" applyBorder="1" applyAlignment="1">
      <alignment horizontal="right" vertical="center" wrapText="1"/>
    </xf>
    <xf numFmtId="0" fontId="16" fillId="0" borderId="17" xfId="0" applyFont="1" applyBorder="1" applyAlignment="1">
      <alignment horizontal="right" vertical="center" wrapText="1"/>
    </xf>
    <xf numFmtId="164" fontId="5" fillId="7" borderId="1" xfId="0" applyNumberFormat="1" applyFont="1" applyFill="1" applyBorder="1" applyAlignment="1" applyProtection="1">
      <alignment horizontal="center" vertical="center" wrapText="1"/>
      <protection locked="0"/>
    </xf>
    <xf numFmtId="49" fontId="19" fillId="0" borderId="8" xfId="0" applyNumberFormat="1" applyFont="1" applyBorder="1" applyAlignment="1">
      <alignment horizontal="left" vertical="center" wrapText="1"/>
    </xf>
    <xf numFmtId="49" fontId="19" fillId="0" borderId="17" xfId="0" applyNumberFormat="1" applyFont="1" applyBorder="1" applyAlignment="1">
      <alignment horizontal="left" vertical="center" wrapText="1"/>
    </xf>
    <xf numFmtId="49" fontId="19" fillId="0" borderId="9" xfId="0" applyNumberFormat="1" applyFont="1" applyBorder="1" applyAlignment="1">
      <alignment horizontal="left" vertical="center" wrapText="1"/>
    </xf>
    <xf numFmtId="0" fontId="24" fillId="0" borderId="0" xfId="0" applyFont="1" applyAlignment="1">
      <alignment horizontal="center"/>
    </xf>
    <xf numFmtId="0" fontId="8" fillId="3" borderId="14"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15" xfId="0" applyFont="1" applyFill="1" applyBorder="1" applyAlignment="1">
      <alignment horizontal="center" vertical="center" wrapText="1"/>
    </xf>
    <xf numFmtId="49" fontId="8" fillId="10" borderId="14" xfId="0" applyNumberFormat="1" applyFont="1" applyFill="1" applyBorder="1" applyAlignment="1">
      <alignment horizontal="center" vertical="center" wrapText="1"/>
    </xf>
    <xf numFmtId="49" fontId="8" fillId="10" borderId="6" xfId="0" applyNumberFormat="1" applyFont="1" applyFill="1" applyBorder="1" applyAlignment="1">
      <alignment horizontal="center" vertical="center" wrapText="1"/>
    </xf>
    <xf numFmtId="49" fontId="8" fillId="10" borderId="15" xfId="0" applyNumberFormat="1" applyFont="1" applyFill="1" applyBorder="1" applyAlignment="1">
      <alignment horizontal="center" vertical="center" wrapText="1"/>
    </xf>
    <xf numFmtId="0" fontId="16" fillId="0" borderId="1" xfId="0" applyFont="1" applyBorder="1" applyAlignment="1">
      <alignment horizontal="right" vertical="center"/>
    </xf>
    <xf numFmtId="49" fontId="16" fillId="0" borderId="1" xfId="0" applyNumberFormat="1" applyFont="1" applyBorder="1" applyAlignment="1">
      <alignment horizontal="center" vertical="center" wrapText="1"/>
    </xf>
    <xf numFmtId="49" fontId="46" fillId="0" borderId="1" xfId="0" applyNumberFormat="1" applyFont="1" applyBorder="1" applyAlignment="1">
      <alignment horizontal="center" vertical="center" wrapText="1"/>
    </xf>
    <xf numFmtId="49" fontId="38" fillId="0" borderId="14" xfId="0" applyNumberFormat="1" applyFont="1" applyBorder="1" applyAlignment="1">
      <alignment horizontal="center" vertical="center" wrapText="1"/>
    </xf>
    <xf numFmtId="49" fontId="38" fillId="0" borderId="6" xfId="0" applyNumberFormat="1" applyFont="1" applyBorder="1" applyAlignment="1">
      <alignment horizontal="center" vertical="center" wrapText="1"/>
    </xf>
    <xf numFmtId="49" fontId="38" fillId="0" borderId="15" xfId="0" applyNumberFormat="1" applyFont="1" applyBorder="1" applyAlignment="1">
      <alignment horizontal="center" vertical="center" wrapText="1"/>
    </xf>
    <xf numFmtId="49" fontId="16" fillId="3" borderId="0" xfId="0" quotePrefix="1" applyNumberFormat="1" applyFont="1" applyFill="1" applyAlignment="1">
      <alignment horizontal="left" vertical="top" wrapText="1"/>
    </xf>
    <xf numFmtId="49" fontId="19" fillId="0" borderId="8" xfId="0" applyNumberFormat="1" applyFont="1" applyBorder="1" applyAlignment="1">
      <alignment horizontal="center" vertical="center" wrapText="1"/>
    </xf>
    <xf numFmtId="49" fontId="19" fillId="0" borderId="17" xfId="0" applyNumberFormat="1" applyFont="1" applyBorder="1" applyAlignment="1">
      <alignment horizontal="center" vertical="center" wrapText="1"/>
    </xf>
    <xf numFmtId="49" fontId="19" fillId="0" borderId="9" xfId="0" applyNumberFormat="1" applyFont="1" applyBorder="1" applyAlignment="1">
      <alignment horizontal="center" vertical="center" wrapText="1"/>
    </xf>
    <xf numFmtId="49" fontId="19" fillId="2" borderId="1" xfId="0" applyNumberFormat="1" applyFont="1" applyFill="1" applyBorder="1" applyAlignment="1" applyProtection="1">
      <alignment horizontal="center" vertical="center" wrapText="1"/>
      <protection locked="0"/>
    </xf>
    <xf numFmtId="49" fontId="19" fillId="0" borderId="1" xfId="0" applyNumberFormat="1" applyFont="1" applyBorder="1" applyAlignment="1">
      <alignment horizontal="right" vertical="center" wrapText="1"/>
    </xf>
    <xf numFmtId="164" fontId="16" fillId="0" borderId="17" xfId="0" applyNumberFormat="1" applyFont="1" applyBorder="1" applyAlignment="1">
      <alignment horizontal="right" vertical="center" wrapText="1"/>
    </xf>
    <xf numFmtId="0" fontId="10" fillId="0" borderId="0" xfId="0" applyFont="1" applyAlignment="1">
      <alignment horizontal="center"/>
    </xf>
    <xf numFmtId="0" fontId="46" fillId="0" borderId="1" xfId="0" applyFont="1" applyBorder="1" applyAlignment="1">
      <alignment horizontal="center" vertical="center"/>
    </xf>
    <xf numFmtId="0" fontId="81" fillId="0" borderId="10" xfId="0" applyFont="1" applyBorder="1" applyAlignment="1">
      <alignment horizontal="center" vertical="center" wrapText="1"/>
    </xf>
    <xf numFmtId="0" fontId="81" fillId="0" borderId="2" xfId="0" applyFont="1" applyBorder="1" applyAlignment="1">
      <alignment horizontal="center" vertical="center" wrapText="1"/>
    </xf>
    <xf numFmtId="0" fontId="81" fillId="0" borderId="5" xfId="0" applyFont="1" applyBorder="1" applyAlignment="1">
      <alignment horizontal="center" vertical="center" wrapText="1"/>
    </xf>
    <xf numFmtId="0" fontId="81" fillId="0" borderId="8" xfId="0" applyFont="1" applyBorder="1" applyAlignment="1">
      <alignment horizontal="center" vertical="center" wrapText="1"/>
    </xf>
    <xf numFmtId="0" fontId="81" fillId="0" borderId="17" xfId="0" applyFont="1" applyBorder="1" applyAlignment="1">
      <alignment horizontal="center" vertical="center" wrapText="1"/>
    </xf>
    <xf numFmtId="0" fontId="81" fillId="0" borderId="9" xfId="0" applyFont="1" applyBorder="1" applyAlignment="1">
      <alignment horizontal="center" vertical="center" wrapText="1"/>
    </xf>
    <xf numFmtId="0" fontId="81" fillId="0" borderId="18" xfId="0" applyFont="1" applyBorder="1" applyAlignment="1">
      <alignment horizontal="center" vertical="center" wrapText="1"/>
    </xf>
    <xf numFmtId="0" fontId="81" fillId="0" borderId="4" xfId="0" applyFont="1" applyBorder="1" applyAlignment="1">
      <alignment horizontal="center" vertical="center" wrapText="1"/>
    </xf>
    <xf numFmtId="174" fontId="16" fillId="0" borderId="18" xfId="0" applyNumberFormat="1" applyFont="1" applyBorder="1" applyAlignment="1">
      <alignment horizontal="center" vertical="center" wrapText="1"/>
    </xf>
    <xf numFmtId="174" fontId="16" fillId="0" borderId="4" xfId="0" applyNumberFormat="1" applyFont="1" applyBorder="1" applyAlignment="1">
      <alignment horizontal="center" vertical="center" wrapText="1"/>
    </xf>
    <xf numFmtId="0" fontId="3" fillId="9" borderId="0" xfId="0" applyFont="1" applyFill="1" applyAlignment="1">
      <alignment horizontal="center"/>
    </xf>
    <xf numFmtId="0" fontId="8" fillId="0" borderId="19" xfId="0" applyFont="1" applyBorder="1" applyAlignment="1">
      <alignment horizontal="center" vertical="center" wrapText="1"/>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16" fillId="0" borderId="0" xfId="0" applyFont="1" applyAlignment="1">
      <alignment horizontal="right" vertical="center"/>
    </xf>
    <xf numFmtId="0" fontId="46" fillId="15" borderId="18" xfId="0" applyFont="1" applyFill="1" applyBorder="1" applyAlignment="1">
      <alignment horizontal="center" vertical="center"/>
    </xf>
    <xf numFmtId="0" fontId="79" fillId="15" borderId="6" xfId="0" applyFont="1" applyFill="1" applyBorder="1" applyAlignment="1">
      <alignment horizontal="center" vertical="center" wrapText="1"/>
    </xf>
    <xf numFmtId="0" fontId="79" fillId="15" borderId="15" xfId="0" applyFont="1" applyFill="1" applyBorder="1" applyAlignment="1">
      <alignment horizontal="center" vertical="center" wrapText="1"/>
    </xf>
    <xf numFmtId="0" fontId="8" fillId="0" borderId="8" xfId="0" applyFont="1" applyBorder="1" applyAlignment="1">
      <alignment horizontal="center" vertical="center" wrapText="1"/>
    </xf>
    <xf numFmtId="0" fontId="8" fillId="0" borderId="10" xfId="0" applyFont="1" applyBorder="1" applyAlignment="1">
      <alignment horizontal="center" vertical="center" wrapText="1"/>
    </xf>
    <xf numFmtId="174" fontId="16" fillId="0" borderId="18" xfId="0" applyNumberFormat="1" applyFont="1" applyBorder="1" applyAlignment="1">
      <alignment horizontal="center" vertical="center"/>
    </xf>
    <xf numFmtId="174" fontId="16" fillId="0" borderId="3" xfId="0" applyNumberFormat="1" applyFont="1" applyBorder="1" applyAlignment="1">
      <alignment horizontal="center" vertical="center"/>
    </xf>
    <xf numFmtId="174" fontId="16" fillId="0" borderId="4" xfId="0" applyNumberFormat="1" applyFont="1" applyBorder="1" applyAlignment="1">
      <alignment horizontal="center" vertical="center"/>
    </xf>
    <xf numFmtId="0" fontId="38" fillId="0" borderId="14" xfId="0" applyFont="1" applyBorder="1" applyAlignment="1">
      <alignment horizontal="center" vertical="center" wrapText="1"/>
    </xf>
    <xf numFmtId="0" fontId="38" fillId="0" borderId="15" xfId="0" applyFont="1" applyBorder="1" applyAlignment="1">
      <alignment horizontal="center" vertical="center" wrapText="1"/>
    </xf>
    <xf numFmtId="0" fontId="38" fillId="0" borderId="8" xfId="0" applyFont="1" applyBorder="1" applyAlignment="1">
      <alignment horizontal="left" vertical="center" wrapText="1" readingOrder="1"/>
    </xf>
    <xf numFmtId="0" fontId="38" fillId="0" borderId="9" xfId="0" applyFont="1" applyBorder="1" applyAlignment="1">
      <alignment horizontal="left" vertical="center" wrapText="1" readingOrder="1"/>
    </xf>
    <xf numFmtId="0" fontId="38" fillId="0" borderId="14" xfId="0" applyFont="1" applyBorder="1" applyAlignment="1">
      <alignment horizontal="left" vertical="center" wrapText="1"/>
    </xf>
    <xf numFmtId="0" fontId="38" fillId="0" borderId="15" xfId="0" applyFont="1" applyBorder="1" applyAlignment="1">
      <alignment horizontal="left" vertical="center" wrapText="1"/>
    </xf>
    <xf numFmtId="0" fontId="38" fillId="0" borderId="18" xfId="0" applyFont="1" applyBorder="1" applyAlignment="1">
      <alignment horizontal="center" vertical="center" wrapText="1"/>
    </xf>
    <xf numFmtId="0" fontId="38" fillId="0" borderId="3" xfId="0" applyFont="1" applyBorder="1" applyAlignment="1">
      <alignment horizontal="center" vertical="center" wrapText="1"/>
    </xf>
    <xf numFmtId="0" fontId="38" fillId="0" borderId="4" xfId="0" applyFont="1" applyBorder="1" applyAlignment="1">
      <alignment horizontal="center" vertical="center" wrapText="1"/>
    </xf>
    <xf numFmtId="0" fontId="3" fillId="0" borderId="0" xfId="0" applyFont="1" applyAlignment="1">
      <alignment horizontal="center" vertical="center" wrapText="1"/>
    </xf>
    <xf numFmtId="0" fontId="8" fillId="0" borderId="19" xfId="0" applyFont="1" applyBorder="1" applyAlignment="1">
      <alignment horizontal="left" vertical="top" wrapText="1"/>
    </xf>
    <xf numFmtId="0" fontId="8" fillId="0" borderId="0" xfId="0" applyFont="1" applyAlignment="1">
      <alignment horizontal="left" vertical="top" wrapText="1"/>
    </xf>
    <xf numFmtId="0" fontId="8" fillId="0" borderId="21" xfId="0" applyFont="1" applyBorder="1" applyAlignment="1">
      <alignment horizontal="left" vertical="top" wrapText="1"/>
    </xf>
    <xf numFmtId="0" fontId="8" fillId="0" borderId="10" xfId="0" applyFont="1" applyBorder="1" applyAlignment="1">
      <alignment horizontal="left" vertical="top"/>
    </xf>
    <xf numFmtId="0" fontId="8" fillId="0" borderId="2" xfId="0" applyFont="1" applyBorder="1" applyAlignment="1">
      <alignment horizontal="left" vertical="top"/>
    </xf>
    <xf numFmtId="0" fontId="8" fillId="0" borderId="5" xfId="0" applyFont="1" applyBorder="1" applyAlignment="1">
      <alignment horizontal="left" vertical="top"/>
    </xf>
    <xf numFmtId="0" fontId="8" fillId="0" borderId="14" xfId="0" applyFont="1" applyBorder="1" applyAlignment="1">
      <alignment horizontal="left" vertical="top" wrapText="1"/>
    </xf>
    <xf numFmtId="0" fontId="8" fillId="0" borderId="6" xfId="0" applyFont="1" applyBorder="1" applyAlignment="1">
      <alignment horizontal="left" vertical="top" wrapText="1"/>
    </xf>
    <xf numFmtId="0" fontId="8" fillId="0" borderId="15" xfId="0" applyFont="1" applyBorder="1" applyAlignment="1">
      <alignment horizontal="left" vertical="top" wrapText="1"/>
    </xf>
    <xf numFmtId="0" fontId="8" fillId="0" borderId="14" xfId="0" applyFont="1" applyBorder="1" applyAlignment="1">
      <alignment horizontal="left" vertical="center"/>
    </xf>
    <xf numFmtId="0" fontId="8" fillId="0" borderId="6" xfId="0" applyFont="1" applyBorder="1" applyAlignment="1">
      <alignment horizontal="left" vertical="center"/>
    </xf>
    <xf numFmtId="0" fontId="8" fillId="0" borderId="15" xfId="0" applyFont="1" applyBorder="1" applyAlignment="1">
      <alignment horizontal="left" vertical="center"/>
    </xf>
    <xf numFmtId="0" fontId="81" fillId="0" borderId="14" xfId="0" applyFont="1" applyBorder="1" applyAlignment="1">
      <alignment horizontal="center" vertical="center" wrapText="1"/>
    </xf>
    <xf numFmtId="0" fontId="81" fillId="0" borderId="6" xfId="0" applyFont="1" applyBorder="1" applyAlignment="1">
      <alignment horizontal="center" vertical="center" wrapText="1"/>
    </xf>
    <xf numFmtId="0" fontId="81" fillId="0" borderId="15" xfId="0" applyFont="1" applyBorder="1" applyAlignment="1">
      <alignment horizontal="center" vertical="center" wrapText="1"/>
    </xf>
    <xf numFmtId="0" fontId="82" fillId="0" borderId="14" xfId="0" quotePrefix="1" applyFont="1" applyBorder="1" applyAlignment="1">
      <alignment horizontal="center" vertical="center" wrapText="1"/>
    </xf>
    <xf numFmtId="0" fontId="82" fillId="0" borderId="6" xfId="0" quotePrefix="1" applyFont="1" applyBorder="1" applyAlignment="1">
      <alignment horizontal="center" vertical="center" wrapText="1"/>
    </xf>
    <xf numFmtId="0" fontId="82" fillId="0" borderId="15" xfId="0" applyFont="1" applyBorder="1" applyAlignment="1">
      <alignment horizontal="center" vertical="center" wrapText="1"/>
    </xf>
    <xf numFmtId="0" fontId="82" fillId="0" borderId="14" xfId="0" applyFont="1" applyBorder="1" applyAlignment="1">
      <alignment horizontal="center" vertical="center" wrapText="1"/>
    </xf>
    <xf numFmtId="0" fontId="82" fillId="0" borderId="6" xfId="0" applyFont="1" applyBorder="1" applyAlignment="1">
      <alignment horizontal="center" vertical="center" wrapText="1"/>
    </xf>
    <xf numFmtId="0" fontId="81" fillId="0" borderId="19" xfId="0" applyFont="1" applyBorder="1" applyAlignment="1">
      <alignment horizontal="center" vertical="center" wrapText="1"/>
    </xf>
    <xf numFmtId="0" fontId="81" fillId="0" borderId="0" xfId="0" applyFont="1" applyAlignment="1">
      <alignment horizontal="center" vertical="center" wrapText="1"/>
    </xf>
    <xf numFmtId="0" fontId="81" fillId="0" borderId="21" xfId="0" applyFont="1" applyBorder="1" applyAlignment="1">
      <alignment horizontal="center" vertical="center" wrapText="1"/>
    </xf>
    <xf numFmtId="0" fontId="82" fillId="0" borderId="8" xfId="0" quotePrefix="1" applyFont="1" applyBorder="1" applyAlignment="1">
      <alignment horizontal="center" vertical="center" wrapText="1"/>
    </xf>
    <xf numFmtId="0" fontId="82" fillId="0" borderId="19" xfId="0" quotePrefix="1" applyFont="1" applyBorder="1" applyAlignment="1">
      <alignment horizontal="center" vertical="center" wrapText="1"/>
    </xf>
    <xf numFmtId="0" fontId="82" fillId="0" borderId="10" xfId="0" quotePrefix="1" applyFont="1" applyBorder="1" applyAlignment="1">
      <alignment horizontal="center" vertical="center" wrapText="1"/>
    </xf>
    <xf numFmtId="0" fontId="8" fillId="8" borderId="18" xfId="0" applyFont="1" applyFill="1" applyBorder="1" applyAlignment="1" applyProtection="1">
      <alignment horizontal="center" vertical="center"/>
      <protection locked="0"/>
    </xf>
    <xf numFmtId="0" fontId="8" fillId="8" borderId="3" xfId="0"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protection locked="0"/>
    </xf>
    <xf numFmtId="0" fontId="39" fillId="0" borderId="18" xfId="0" applyFont="1" applyBorder="1" applyAlignment="1">
      <alignment horizontal="center" vertical="center"/>
    </xf>
    <xf numFmtId="0" fontId="39" fillId="0" borderId="3" xfId="0" applyFont="1" applyBorder="1" applyAlignment="1">
      <alignment horizontal="center" vertical="center"/>
    </xf>
    <xf numFmtId="0" fontId="39" fillId="0" borderId="4" xfId="0" applyFont="1" applyBorder="1" applyAlignment="1">
      <alignment horizontal="center" vertical="center"/>
    </xf>
    <xf numFmtId="1" fontId="14" fillId="0" borderId="18" xfId="2" applyNumberFormat="1" applyFont="1" applyBorder="1" applyAlignment="1">
      <alignment horizontal="center" vertical="center"/>
    </xf>
    <xf numFmtId="1" fontId="14" fillId="0" borderId="3" xfId="2" applyNumberFormat="1" applyFont="1" applyBorder="1" applyAlignment="1">
      <alignment horizontal="center" vertical="center"/>
    </xf>
    <xf numFmtId="1" fontId="14" fillId="0" borderId="4" xfId="2" applyNumberFormat="1" applyFont="1" applyBorder="1" applyAlignment="1">
      <alignment horizontal="center" vertical="center"/>
    </xf>
    <xf numFmtId="0" fontId="3" fillId="0" borderId="21" xfId="0" applyFont="1" applyBorder="1" applyAlignment="1">
      <alignment horizontal="center"/>
    </xf>
    <xf numFmtId="0" fontId="81" fillId="0" borderId="9" xfId="0" quotePrefix="1" applyFont="1" applyBorder="1" applyAlignment="1">
      <alignment horizontal="center" vertical="center" wrapText="1"/>
    </xf>
    <xf numFmtId="0" fontId="81" fillId="0" borderId="5" xfId="0" quotePrefix="1" applyFont="1" applyBorder="1" applyAlignment="1">
      <alignment horizontal="center" vertical="center" wrapText="1"/>
    </xf>
    <xf numFmtId="0" fontId="81" fillId="7" borderId="14" xfId="0" applyFont="1" applyFill="1" applyBorder="1" applyAlignment="1" applyProtection="1">
      <alignment horizontal="center" vertical="center" wrapText="1"/>
      <protection locked="0"/>
    </xf>
    <xf numFmtId="0" fontId="81" fillId="7" borderId="6" xfId="0" applyFont="1" applyFill="1" applyBorder="1" applyAlignment="1" applyProtection="1">
      <alignment horizontal="center" vertical="center" wrapText="1"/>
      <protection locked="0"/>
    </xf>
    <xf numFmtId="0" fontId="81" fillId="0" borderId="3" xfId="0" applyFont="1" applyBorder="1" applyAlignment="1">
      <alignment horizontal="center" vertical="center" wrapText="1"/>
    </xf>
    <xf numFmtId="2" fontId="82" fillId="0" borderId="18" xfId="0" quotePrefix="1" applyNumberFormat="1" applyFont="1" applyBorder="1" applyAlignment="1">
      <alignment horizontal="center" vertical="center" wrapText="1"/>
    </xf>
    <xf numFmtId="2" fontId="82" fillId="0" borderId="3" xfId="0" quotePrefix="1" applyNumberFormat="1" applyFont="1" applyBorder="1" applyAlignment="1">
      <alignment horizontal="center" vertical="center" wrapText="1"/>
    </xf>
    <xf numFmtId="0" fontId="82" fillId="0" borderId="3" xfId="0" quotePrefix="1" applyFont="1" applyBorder="1" applyAlignment="1">
      <alignment horizontal="center" vertical="center" wrapText="1"/>
    </xf>
    <xf numFmtId="0" fontId="81" fillId="0" borderId="18" xfId="0" quotePrefix="1" applyFont="1" applyBorder="1" applyAlignment="1">
      <alignment horizontal="center" vertical="center" wrapText="1"/>
    </xf>
    <xf numFmtId="0" fontId="81" fillId="0" borderId="3" xfId="0" quotePrefix="1" applyFont="1" applyBorder="1" applyAlignment="1">
      <alignment horizontal="center" vertical="center" wrapText="1"/>
    </xf>
    <xf numFmtId="0" fontId="98" fillId="0" borderId="19" xfId="0" applyFont="1" applyBorder="1" applyAlignment="1">
      <alignment horizontal="right" vertical="center" wrapText="1"/>
    </xf>
    <xf numFmtId="0" fontId="98" fillId="0" borderId="0" xfId="0" applyFont="1" applyAlignment="1">
      <alignment horizontal="right" vertical="center" wrapText="1"/>
    </xf>
    <xf numFmtId="0" fontId="82" fillId="0" borderId="9" xfId="0" quotePrefix="1" applyFont="1" applyBorder="1" applyAlignment="1">
      <alignment horizontal="center" vertical="center" wrapText="1"/>
    </xf>
    <xf numFmtId="0" fontId="82" fillId="0" borderId="21" xfId="0" quotePrefix="1" applyFont="1" applyBorder="1" applyAlignment="1">
      <alignment horizontal="center" vertical="center" wrapText="1"/>
    </xf>
    <xf numFmtId="0" fontId="8" fillId="0" borderId="8" xfId="0" applyFont="1" applyBorder="1" applyAlignment="1">
      <alignment horizontal="center" wrapText="1"/>
    </xf>
    <xf numFmtId="0" fontId="8" fillId="0" borderId="9" xfId="0" applyFont="1" applyBorder="1" applyAlignment="1">
      <alignment horizontal="center" wrapText="1"/>
    </xf>
    <xf numFmtId="0" fontId="8" fillId="7" borderId="1" xfId="0" applyFont="1" applyFill="1" applyBorder="1" applyAlignment="1" applyProtection="1">
      <alignment horizontal="center" wrapText="1"/>
      <protection locked="0"/>
    </xf>
    <xf numFmtId="0" fontId="82" fillId="0" borderId="8" xfId="0" applyFont="1" applyBorder="1" applyAlignment="1">
      <alignment horizontal="center" vertical="center" wrapText="1"/>
    </xf>
    <xf numFmtId="0" fontId="82" fillId="0" borderId="9" xfId="0" applyFont="1" applyBorder="1" applyAlignment="1">
      <alignment horizontal="center" vertical="center" wrapText="1"/>
    </xf>
    <xf numFmtId="0" fontId="82" fillId="0" borderId="10" xfId="0" applyFont="1" applyBorder="1" applyAlignment="1">
      <alignment horizontal="center" vertical="center" wrapText="1"/>
    </xf>
    <xf numFmtId="0" fontId="82" fillId="0" borderId="5" xfId="0" applyFont="1" applyBorder="1" applyAlignment="1">
      <alignment horizontal="center" vertical="center" wrapText="1"/>
    </xf>
    <xf numFmtId="0" fontId="8" fillId="7" borderId="10" xfId="0" applyFont="1" applyFill="1" applyBorder="1" applyAlignment="1" applyProtection="1">
      <alignment horizontal="center" wrapText="1"/>
      <protection locked="0"/>
    </xf>
    <xf numFmtId="0" fontId="8" fillId="7" borderId="5" xfId="0" applyFont="1" applyFill="1" applyBorder="1" applyAlignment="1" applyProtection="1">
      <alignment horizontal="center" wrapText="1"/>
      <protection locked="0"/>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8" fillId="0" borderId="1" xfId="0" applyFont="1" applyBorder="1" applyAlignment="1">
      <alignment horizontal="left" vertical="top" wrapText="1"/>
    </xf>
    <xf numFmtId="0" fontId="8" fillId="0" borderId="10" xfId="0" applyFont="1" applyBorder="1" applyAlignment="1">
      <alignment horizontal="left" vertical="top" wrapText="1"/>
    </xf>
    <xf numFmtId="0" fontId="8" fillId="0" borderId="2" xfId="0" applyFont="1" applyBorder="1" applyAlignment="1">
      <alignment horizontal="left" vertical="top" wrapText="1"/>
    </xf>
    <xf numFmtId="49" fontId="23" fillId="2" borderId="14" xfId="0" applyNumberFormat="1" applyFont="1" applyFill="1" applyBorder="1" applyAlignment="1" applyProtection="1">
      <alignment horizontal="left" vertical="top" wrapText="1"/>
      <protection locked="0"/>
    </xf>
    <xf numFmtId="49" fontId="23" fillId="2" borderId="6" xfId="0" applyNumberFormat="1" applyFont="1" applyFill="1" applyBorder="1" applyAlignment="1" applyProtection="1">
      <alignment horizontal="left" vertical="top" wrapText="1"/>
      <protection locked="0"/>
    </xf>
    <xf numFmtId="49" fontId="23" fillId="2" borderId="15" xfId="0" applyNumberFormat="1" applyFont="1" applyFill="1" applyBorder="1" applyAlignment="1" applyProtection="1">
      <alignment horizontal="left" vertical="top" wrapText="1"/>
      <protection locked="0"/>
    </xf>
    <xf numFmtId="49" fontId="32" fillId="3" borderId="0" xfId="0" applyNumberFormat="1" applyFont="1" applyFill="1" applyAlignment="1">
      <alignment horizontal="left" vertical="top" wrapText="1"/>
    </xf>
    <xf numFmtId="49" fontId="22" fillId="0" borderId="0" xfId="0" applyNumberFormat="1" applyFont="1" applyAlignment="1">
      <alignment horizontal="center" vertical="center" wrapText="1"/>
    </xf>
    <xf numFmtId="49" fontId="32" fillId="0" borderId="0" xfId="0" applyNumberFormat="1" applyFont="1" applyAlignment="1">
      <alignment horizontal="left" vertical="top" wrapText="1"/>
    </xf>
    <xf numFmtId="49" fontId="27" fillId="0" borderId="17" xfId="0" applyNumberFormat="1" applyFont="1" applyBorder="1" applyAlignment="1">
      <alignment horizontal="left" vertical="top" wrapText="1"/>
    </xf>
    <xf numFmtId="49" fontId="27" fillId="0" borderId="0" xfId="0" applyNumberFormat="1" applyFont="1" applyAlignment="1">
      <alignment horizontal="left" wrapText="1"/>
    </xf>
    <xf numFmtId="0" fontId="27" fillId="0" borderId="0" xfId="0" applyFont="1" applyAlignment="1">
      <alignment horizontal="left" wrapText="1"/>
    </xf>
    <xf numFmtId="49" fontId="35" fillId="3" borderId="0" xfId="0" applyNumberFormat="1" applyFont="1" applyFill="1" applyAlignment="1">
      <alignment horizontal="left" wrapText="1"/>
    </xf>
  </cellXfs>
  <cellStyles count="8">
    <cellStyle name="Collegamento ipertestuale" xfId="1" builtinId="8"/>
    <cellStyle name="Migliaia" xfId="2" builtinId="3"/>
    <cellStyle name="Normale" xfId="0" builtinId="0"/>
    <cellStyle name="Normale 2" xfId="3"/>
    <cellStyle name="Normale 3" xfId="4"/>
    <cellStyle name="Percentuale" xfId="5" builtinId="5"/>
    <cellStyle name="Percentuale 2" xfId="6"/>
    <cellStyle name="Valuta" xfId="7" builtinId="4"/>
  </cellStyles>
  <dxfs count="80">
    <dxf>
      <font>
        <color theme="0"/>
      </font>
      <fill>
        <patternFill patternType="none">
          <bgColor auto="1"/>
        </patternFill>
      </fill>
    </dxf>
    <dxf>
      <font>
        <b/>
        <i val="0"/>
        <strike val="0"/>
        <color auto="1"/>
      </font>
      <fill>
        <patternFill>
          <bgColor rgb="FF00FF00"/>
        </patternFill>
      </fill>
    </dxf>
    <dxf>
      <font>
        <color theme="0"/>
      </font>
      <fill>
        <patternFill>
          <bgColor theme="0"/>
        </patternFill>
      </fill>
    </dxf>
    <dxf>
      <font>
        <b/>
        <i val="0"/>
        <color theme="0"/>
      </font>
      <fill>
        <patternFill>
          <bgColor rgb="FF009900"/>
        </patternFill>
      </fill>
    </dxf>
    <dxf>
      <font>
        <color theme="0"/>
      </font>
      <fill>
        <patternFill>
          <bgColor theme="0"/>
        </patternFill>
      </fill>
    </dxf>
    <dxf>
      <font>
        <b/>
        <i val="0"/>
        <color theme="0"/>
      </font>
      <fill>
        <patternFill>
          <bgColor rgb="FFFF0000"/>
        </patternFill>
      </fill>
    </dxf>
    <dxf>
      <font>
        <b val="0"/>
        <i/>
        <color auto="1"/>
      </font>
      <fill>
        <patternFill>
          <bgColor rgb="FF00FF00"/>
        </patternFill>
      </fill>
    </dxf>
    <dxf>
      <font>
        <color rgb="FF9C0006"/>
      </font>
      <fill>
        <patternFill>
          <bgColor rgb="FFFF0000"/>
        </patternFill>
      </fill>
    </dxf>
    <dxf>
      <font>
        <color rgb="FF9C0006"/>
      </font>
      <fill>
        <patternFill>
          <bgColor rgb="FFFFC7CE"/>
        </patternFill>
      </fill>
    </dxf>
    <dxf>
      <font>
        <color theme="0"/>
      </font>
      <fill>
        <patternFill>
          <bgColor theme="0"/>
        </patternFill>
      </fill>
    </dxf>
    <dxf>
      <font>
        <color theme="0"/>
      </font>
      <fill>
        <patternFill>
          <bgColor theme="0"/>
        </patternFill>
      </fill>
    </dxf>
    <dxf>
      <font>
        <color theme="0"/>
      </font>
      <fill>
        <patternFill>
          <bgColor theme="0"/>
        </patternFill>
      </fill>
    </dxf>
    <dxf>
      <font>
        <b/>
        <i val="0"/>
        <color auto="1"/>
      </font>
      <fill>
        <patternFill>
          <bgColor rgb="FF00FF00"/>
        </patternFill>
      </fill>
    </dxf>
    <dxf>
      <font>
        <color theme="1"/>
      </font>
      <fill>
        <patternFill>
          <bgColor rgb="FF00FF00"/>
        </patternFill>
      </fill>
    </dxf>
    <dxf>
      <font>
        <b/>
        <i val="0"/>
        <color theme="0"/>
      </font>
      <fill>
        <patternFill>
          <bgColor rgb="FFFF0000"/>
        </patternFill>
      </fill>
    </dxf>
    <dxf>
      <font>
        <b/>
        <i val="0"/>
        <color auto="1"/>
      </font>
      <fill>
        <patternFill>
          <bgColor rgb="FF00FF00"/>
        </patternFill>
      </fill>
    </dxf>
    <dxf>
      <font>
        <color theme="0"/>
      </font>
      <fill>
        <patternFill>
          <bgColor theme="0"/>
        </patternFill>
      </fill>
    </dxf>
    <dxf>
      <font>
        <b/>
        <i val="0"/>
        <color theme="0"/>
      </font>
      <fill>
        <patternFill>
          <bgColor rgb="FF009900"/>
        </patternFill>
      </fill>
    </dxf>
    <dxf>
      <font>
        <b/>
        <i val="0"/>
        <color auto="1"/>
      </font>
      <fill>
        <patternFill>
          <bgColor rgb="FFFF0000"/>
        </patternFill>
      </fill>
    </dxf>
    <dxf>
      <font>
        <b/>
        <i val="0"/>
        <color theme="0"/>
      </font>
      <fill>
        <patternFill>
          <bgColor rgb="FFFF0000"/>
        </patternFill>
      </fill>
    </dxf>
    <dxf>
      <fill>
        <patternFill>
          <bgColor rgb="FF00FF00"/>
        </patternFill>
      </fill>
    </dxf>
    <dxf>
      <font>
        <b/>
        <i val="0"/>
        <color theme="0"/>
      </font>
      <fill>
        <patternFill>
          <bgColor rgb="FFFF0000"/>
        </patternFill>
      </fill>
    </dxf>
    <dxf>
      <font>
        <color rgb="FFFF0000"/>
      </font>
      <fill>
        <patternFill>
          <bgColor rgb="FFFF0000"/>
        </patternFill>
      </fill>
    </dxf>
    <dxf>
      <font>
        <color theme="1"/>
      </font>
      <fill>
        <patternFill>
          <bgColor rgb="FF00FF00"/>
        </patternFill>
      </fill>
    </dxf>
    <dxf>
      <font>
        <b/>
        <i val="0"/>
        <color theme="0"/>
      </font>
      <fill>
        <patternFill>
          <bgColor rgb="FFFF0000"/>
        </patternFill>
      </fill>
    </dxf>
    <dxf>
      <font>
        <b/>
        <i val="0"/>
        <color auto="1"/>
      </font>
      <fill>
        <patternFill>
          <bgColor rgb="FFFF0000"/>
        </patternFill>
      </fill>
    </dxf>
    <dxf>
      <fill>
        <patternFill>
          <bgColor rgb="FF00B050"/>
        </patternFill>
      </fill>
    </dxf>
    <dxf>
      <font>
        <b/>
        <i val="0"/>
        <color auto="1"/>
      </font>
      <fill>
        <patternFill>
          <bgColor theme="0"/>
        </patternFill>
      </fill>
    </dxf>
    <dxf>
      <font>
        <b/>
        <i val="0"/>
        <color theme="0"/>
      </font>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00B050"/>
        </patternFill>
      </fill>
    </dxf>
    <dxf>
      <font>
        <b/>
        <i val="0"/>
        <color theme="0"/>
      </font>
      <fill>
        <patternFill>
          <bgColor rgb="FFFF0000"/>
        </patternFill>
      </fill>
    </dxf>
    <dxf>
      <font>
        <color theme="0"/>
      </font>
      <fill>
        <patternFill>
          <bgColor rgb="FFFF0000"/>
        </patternFill>
      </fill>
    </dxf>
    <dxf>
      <font>
        <color theme="0"/>
      </font>
      <fill>
        <patternFill>
          <bgColor theme="0"/>
        </patternFill>
      </fill>
    </dxf>
    <dxf>
      <font>
        <b/>
        <i val="0"/>
        <color theme="0"/>
      </font>
      <fill>
        <patternFill>
          <bgColor rgb="FFFF0000"/>
        </patternFill>
      </fill>
    </dxf>
    <dxf>
      <font>
        <color theme="0"/>
      </font>
      <fill>
        <patternFill>
          <bgColor rgb="FFFF0000"/>
        </patternFill>
      </fill>
    </dxf>
    <dxf>
      <font>
        <color theme="0"/>
      </font>
      <fill>
        <patternFill>
          <bgColor theme="0"/>
        </patternFill>
      </fill>
    </dxf>
    <dxf>
      <font>
        <color theme="0"/>
      </font>
      <fill>
        <patternFill>
          <bgColor theme="0"/>
        </patternFill>
      </fill>
    </dxf>
    <dxf>
      <font>
        <b/>
        <i val="0"/>
        <strike val="0"/>
        <color auto="1"/>
      </font>
      <fill>
        <patternFill>
          <bgColor rgb="FFFFC00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b/>
        <i val="0"/>
        <color theme="0"/>
      </font>
      <fill>
        <patternFill>
          <bgColor rgb="FFFF0000"/>
        </patternFill>
      </fill>
    </dxf>
    <dxf>
      <font>
        <b/>
        <i val="0"/>
        <color theme="0"/>
      </font>
      <fill>
        <patternFill>
          <bgColor rgb="FFFF0000"/>
        </patternFill>
      </fill>
    </dxf>
    <dxf>
      <font>
        <b/>
        <i val="0"/>
        <strike val="0"/>
        <color auto="1"/>
      </font>
      <fill>
        <patternFill>
          <bgColor rgb="FFCCFFCC"/>
        </patternFill>
      </fill>
    </dxf>
    <dxf>
      <font>
        <strike val="0"/>
        <color auto="1"/>
      </font>
      <fill>
        <patternFill>
          <bgColor rgb="FFFF0000"/>
        </patternFill>
      </fill>
    </dxf>
    <dxf>
      <font>
        <color auto="1"/>
      </font>
      <fill>
        <patternFill>
          <bgColor rgb="FF00FF00"/>
        </patternFill>
      </fill>
    </dxf>
    <dxf>
      <font>
        <b/>
        <i val="0"/>
        <strike val="0"/>
        <color auto="1"/>
      </font>
      <fill>
        <patternFill>
          <bgColor rgb="FF00FF00"/>
        </patternFill>
      </fill>
    </dxf>
    <dxf>
      <font>
        <color rgb="FF9C0006"/>
      </font>
      <fill>
        <patternFill>
          <bgColor rgb="FFFFC7CE"/>
        </patternFill>
      </fill>
    </dxf>
    <dxf>
      <font>
        <b/>
        <i val="0"/>
        <strike val="0"/>
        <color theme="0"/>
      </font>
      <fill>
        <patternFill>
          <bgColor rgb="FFFF0000"/>
        </patternFill>
      </fill>
    </dxf>
    <dxf>
      <font>
        <b/>
        <i val="0"/>
        <strike val="0"/>
        <color theme="1"/>
      </font>
      <fill>
        <patternFill>
          <bgColor rgb="FF00FF00"/>
        </patternFill>
      </fill>
    </dxf>
    <dxf>
      <font>
        <b/>
        <i val="0"/>
        <color theme="0"/>
      </font>
      <fill>
        <patternFill>
          <bgColor rgb="FFFF0000"/>
        </patternFill>
      </fill>
    </dxf>
    <dxf>
      <font>
        <b/>
        <i val="0"/>
        <color theme="0"/>
      </font>
      <fill>
        <patternFill>
          <bgColor rgb="FFFF0000"/>
        </patternFill>
      </fill>
    </dxf>
    <dxf>
      <font>
        <color theme="0"/>
      </font>
      <fill>
        <patternFill>
          <bgColor theme="0"/>
        </patternFill>
      </fill>
    </dxf>
    <dxf>
      <font>
        <color rgb="FF00FF00"/>
      </font>
      <fill>
        <patternFill>
          <bgColor rgb="FF00FF00"/>
        </patternFill>
      </fill>
    </dxf>
    <dxf>
      <font>
        <b val="0"/>
        <i val="0"/>
        <color auto="1"/>
      </font>
      <fill>
        <patternFill>
          <bgColor rgb="FFFF0000"/>
        </patternFill>
      </fill>
    </dxf>
    <dxf>
      <font>
        <b val="0"/>
        <i val="0"/>
        <color auto="1"/>
      </font>
      <fill>
        <patternFill>
          <bgColor rgb="FFFFFF00"/>
        </patternFill>
      </fill>
    </dxf>
    <dxf>
      <font>
        <b val="0"/>
        <i val="0"/>
        <color auto="1"/>
      </font>
      <fill>
        <patternFill>
          <bgColor rgb="FFFFFF00"/>
        </patternFill>
      </fill>
    </dxf>
    <dxf>
      <font>
        <b val="0"/>
        <i val="0"/>
        <color auto="1"/>
      </font>
      <fill>
        <patternFill>
          <bgColor rgb="FFFF0000"/>
        </patternFill>
      </fill>
    </dxf>
    <dxf>
      <font>
        <b val="0"/>
        <i val="0"/>
        <color auto="1"/>
      </font>
      <fill>
        <patternFill>
          <bgColor rgb="FFFF0000"/>
        </patternFill>
      </fill>
    </dxf>
    <dxf>
      <font>
        <b val="0"/>
        <i val="0"/>
        <color auto="1"/>
      </font>
      <fill>
        <patternFill>
          <bgColor rgb="FFFFFF00"/>
        </patternFill>
      </fill>
    </dxf>
    <dxf>
      <font>
        <b val="0"/>
        <i val="0"/>
        <color auto="1"/>
      </font>
      <fill>
        <patternFill>
          <bgColor rgb="FFFFFF00"/>
        </patternFill>
      </fill>
    </dxf>
    <dxf>
      <font>
        <b val="0"/>
        <i val="0"/>
        <color auto="1"/>
      </font>
      <fill>
        <patternFill>
          <bgColor rgb="FFFF0000"/>
        </patternFill>
      </fill>
    </dxf>
    <dxf>
      <font>
        <color rgb="FF9C0006"/>
      </font>
      <fill>
        <patternFill>
          <bgColor rgb="FFFFC7CE"/>
        </patternFill>
      </fill>
    </dxf>
    <dxf>
      <font>
        <color rgb="FF00FF00"/>
      </font>
      <fill>
        <patternFill patternType="solid">
          <bgColor rgb="FF00FF00"/>
        </patternFill>
      </fill>
    </dxf>
    <dxf>
      <font>
        <color theme="0"/>
      </font>
      <fill>
        <patternFill>
          <bgColor theme="0"/>
        </patternFill>
      </fill>
    </dxf>
    <dxf>
      <font>
        <color theme="0"/>
      </font>
      <fill>
        <patternFill patternType="none">
          <bgColor indexed="65"/>
        </patternFill>
      </fill>
    </dxf>
    <dxf>
      <font>
        <color theme="0"/>
      </font>
      <fill>
        <patternFill patternType="none">
          <bgColor indexed="65"/>
        </patternFill>
      </fill>
    </dxf>
    <dxf>
      <font>
        <b/>
        <i val="0"/>
        <strike val="0"/>
        <color theme="0"/>
      </font>
      <fill>
        <patternFill>
          <bgColor rgb="FFFF0000"/>
        </patternFill>
      </fill>
    </dxf>
    <dxf>
      <font>
        <color theme="0"/>
      </font>
      <fill>
        <patternFill>
          <bgColor theme="0"/>
        </patternFill>
      </fill>
    </dxf>
    <dxf>
      <font>
        <strike val="0"/>
        <color theme="0"/>
      </font>
      <fill>
        <patternFill>
          <bgColor rgb="FF00FF00"/>
        </patternFill>
      </fill>
    </dxf>
    <dxf>
      <font>
        <b/>
        <i val="0"/>
        <color theme="0"/>
      </font>
      <fill>
        <patternFill>
          <bgColor rgb="FFFF0000"/>
        </patternFill>
      </fill>
    </dxf>
    <dxf>
      <font>
        <b/>
        <i val="0"/>
        <color theme="0"/>
      </font>
      <fill>
        <patternFill>
          <bgColor theme="0"/>
        </patternFill>
      </fill>
    </dxf>
  </dxfs>
  <tableStyles count="0" defaultTableStyle="TableStyleMedium2" defaultPivotStyle="PivotStyleLight16"/>
  <colors>
    <mruColors>
      <color rgb="FF009900"/>
      <color rgb="FF66FF66"/>
      <color rgb="FF00FF00"/>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243840</xdr:colOff>
      <xdr:row>0</xdr:row>
      <xdr:rowOff>373380</xdr:rowOff>
    </xdr:from>
    <xdr:to>
      <xdr:col>33</xdr:col>
      <xdr:colOff>140970</xdr:colOff>
      <xdr:row>1</xdr:row>
      <xdr:rowOff>1242060</xdr:rowOff>
    </xdr:to>
    <xdr:pic>
      <xdr:nvPicPr>
        <xdr:cNvPr id="44045" name="Immagine 1">
          <a:extLst>
            <a:ext uri="{FF2B5EF4-FFF2-40B4-BE49-F238E27FC236}">
              <a16:creationId xmlns:a16="http://schemas.microsoft.com/office/drawing/2014/main" id="{FA17D247-6623-8CBB-E430-65E7E24B2C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3940" y="373380"/>
          <a:ext cx="12847320" cy="1760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25</xdr:col>
      <xdr:colOff>1584960</xdr:colOff>
      <xdr:row>13</xdr:row>
      <xdr:rowOff>198120</xdr:rowOff>
    </xdr:from>
    <xdr:to>
      <xdr:col>38</xdr:col>
      <xdr:colOff>209550</xdr:colOff>
      <xdr:row>16</xdr:row>
      <xdr:rowOff>22860</xdr:rowOff>
    </xdr:to>
    <xdr:pic>
      <xdr:nvPicPr>
        <xdr:cNvPr id="44046" name="Immagine 1">
          <a:extLst>
            <a:ext uri="{FF2B5EF4-FFF2-40B4-BE49-F238E27FC236}">
              <a16:creationId xmlns:a16="http://schemas.microsoft.com/office/drawing/2014/main" id="{60B8F076-BA67-7B28-251A-60D171FFDEC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05060" y="6515100"/>
          <a:ext cx="54940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aaa%20%20%20%20%20%20%20%20%20%20%20%20%20%20%20%20%20%20SALVATAGGIO%2010%208%2019\P%20S%20R%20_____Z%20LIGURIA\mis%204.1%20apertura%202022\4.1.1%20INNOVAZIONE%20pubblicati\piano_aziendale_svil_4_1_1_innovazione_273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S 1 anagraf"/>
      <sheetName val="PAS 2 calc prod stand"/>
      <sheetName val="PAS 3 trasf comm macch"/>
      <sheetName val="PAS 4 descr invest"/>
      <sheetName val="PAS 4 b INV AMB"/>
      <sheetName val="PAS 5 sost finanz"/>
      <sheetName val="PAS 6 punteggi"/>
      <sheetName val="PAS 7 relazione"/>
      <sheetName val="Foglio2"/>
    </sheetNames>
    <sheetDataSet>
      <sheetData sheetId="0"/>
      <sheetData sheetId="1">
        <row r="56">
          <cell r="I56">
            <v>0</v>
          </cell>
        </row>
      </sheetData>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AQ119"/>
  <sheetViews>
    <sheetView showGridLines="0" zoomScale="80" zoomScaleNormal="80" zoomScaleSheetLayoutView="100" workbookViewId="0">
      <selection activeCell="C13" sqref="C13"/>
    </sheetView>
  </sheetViews>
  <sheetFormatPr defaultColWidth="3.88671875" defaultRowHeight="20.25" customHeight="1" x14ac:dyDescent="0.25"/>
  <cols>
    <col min="6" max="6" width="7" customWidth="1"/>
    <col min="10" max="10" width="11.44140625" bestFit="1" customWidth="1"/>
    <col min="18" max="18" width="14.33203125" bestFit="1" customWidth="1"/>
    <col min="19" max="19" width="8.33203125" bestFit="1" customWidth="1"/>
    <col min="26" max="26" width="34" customWidth="1"/>
    <col min="30" max="30" width="12.33203125" bestFit="1" customWidth="1"/>
    <col min="33" max="33" width="12" customWidth="1"/>
    <col min="35" max="35" width="6.88671875" bestFit="1" customWidth="1"/>
  </cols>
  <sheetData>
    <row r="1" spans="1:39" ht="70.2" customHeight="1" x14ac:dyDescent="0.25"/>
    <row r="2" spans="1:39" s="97" customFormat="1" ht="141" customHeight="1" x14ac:dyDescent="0.6">
      <c r="A2" s="526" t="s">
        <v>858</v>
      </c>
      <c r="B2" s="526"/>
      <c r="C2" s="526"/>
      <c r="D2" s="526"/>
      <c r="E2" s="526"/>
      <c r="F2" s="526"/>
      <c r="G2" s="526"/>
      <c r="H2" s="526"/>
      <c r="I2" s="526"/>
      <c r="J2" s="526"/>
      <c r="K2" s="526"/>
      <c r="L2" s="526"/>
      <c r="M2" s="526"/>
      <c r="N2" s="526"/>
      <c r="O2" s="526"/>
      <c r="P2" s="526"/>
      <c r="Q2" s="526"/>
      <c r="R2" s="526"/>
      <c r="S2" s="526"/>
      <c r="T2" s="526"/>
      <c r="U2" s="526"/>
      <c r="V2" s="526"/>
      <c r="W2" s="526"/>
      <c r="X2" s="526"/>
      <c r="Y2" s="526"/>
      <c r="Z2" s="526"/>
      <c r="AA2" s="526"/>
      <c r="AB2" s="526"/>
      <c r="AC2" s="526"/>
      <c r="AD2" s="526"/>
      <c r="AE2" s="526"/>
      <c r="AF2" s="526"/>
      <c r="AG2" s="526"/>
      <c r="AH2" s="526"/>
      <c r="AI2" s="526"/>
      <c r="AJ2" s="526"/>
      <c r="AK2" s="526"/>
      <c r="AL2" s="526"/>
      <c r="AM2" s="526"/>
    </row>
    <row r="3" spans="1:39" s="13" customFormat="1" ht="22.2" customHeight="1" x14ac:dyDescent="0.25">
      <c r="A3" s="529" t="s">
        <v>330</v>
      </c>
      <c r="B3" s="529"/>
      <c r="C3" s="529"/>
      <c r="D3" s="529"/>
      <c r="E3" s="529"/>
      <c r="F3" s="529"/>
      <c r="G3" s="529"/>
      <c r="H3" s="529"/>
      <c r="I3" s="529"/>
      <c r="J3" s="529"/>
      <c r="K3" s="529"/>
      <c r="L3" s="529"/>
      <c r="M3" s="529"/>
      <c r="N3" s="529"/>
      <c r="O3" s="529"/>
      <c r="P3" s="529"/>
      <c r="Q3" s="529"/>
      <c r="R3" s="529"/>
      <c r="S3" s="529"/>
      <c r="T3" s="529"/>
      <c r="U3" s="529"/>
      <c r="V3" s="529"/>
      <c r="W3" s="529"/>
      <c r="X3" s="529"/>
      <c r="Y3" s="529"/>
      <c r="Z3" s="529"/>
      <c r="AA3" s="529"/>
      <c r="AB3" s="529"/>
      <c r="AC3" s="529"/>
      <c r="AD3" s="529"/>
      <c r="AE3" s="529"/>
      <c r="AF3" s="529"/>
      <c r="AG3" s="529"/>
      <c r="AH3" s="529"/>
      <c r="AI3" s="529"/>
      <c r="AJ3" s="529"/>
      <c r="AK3" s="529"/>
      <c r="AL3" s="529"/>
      <c r="AM3" s="529"/>
    </row>
    <row r="4" spans="1:39" s="13" customFormat="1" ht="20.25" customHeight="1" x14ac:dyDescent="0.25">
      <c r="C4" s="94"/>
      <c r="E4" s="94"/>
      <c r="AI4" s="94"/>
    </row>
    <row r="5" spans="1:39" s="13" customFormat="1" ht="27.6" customHeight="1" x14ac:dyDescent="0.25">
      <c r="A5" s="530" t="s">
        <v>960</v>
      </c>
      <c r="B5" s="531"/>
      <c r="C5" s="531"/>
      <c r="D5" s="531"/>
      <c r="E5" s="531"/>
      <c r="F5" s="531"/>
      <c r="G5" s="531"/>
      <c r="H5" s="531"/>
      <c r="I5" s="531"/>
      <c r="J5" s="531"/>
      <c r="K5" s="531"/>
      <c r="L5" s="531"/>
      <c r="M5" s="531"/>
      <c r="N5" s="531"/>
      <c r="O5" s="531"/>
      <c r="P5" s="531"/>
      <c r="Q5" s="531"/>
      <c r="R5" s="531"/>
      <c r="S5" s="531"/>
      <c r="T5" s="531"/>
      <c r="U5" s="531"/>
      <c r="V5" s="531"/>
      <c r="W5" s="531"/>
      <c r="X5" s="531"/>
      <c r="Y5" s="531"/>
      <c r="Z5" s="531"/>
      <c r="AA5" s="531"/>
      <c r="AB5" s="531"/>
      <c r="AC5" s="531"/>
      <c r="AD5" s="531"/>
      <c r="AE5" s="531"/>
      <c r="AF5" s="531"/>
      <c r="AG5" s="531"/>
      <c r="AH5" s="531"/>
      <c r="AI5" s="531"/>
      <c r="AJ5" s="531"/>
      <c r="AK5" s="531"/>
      <c r="AL5" s="531"/>
    </row>
    <row r="6" spans="1:39" s="13" customFormat="1" ht="32.4" customHeight="1" x14ac:dyDescent="0.25">
      <c r="A6" s="531"/>
      <c r="B6" s="531"/>
      <c r="C6" s="531"/>
      <c r="D6" s="531"/>
      <c r="E6" s="531"/>
      <c r="F6" s="531"/>
      <c r="G6" s="531"/>
      <c r="H6" s="531"/>
      <c r="I6" s="531"/>
      <c r="J6" s="531"/>
      <c r="K6" s="531"/>
      <c r="L6" s="531"/>
      <c r="M6" s="531"/>
      <c r="N6" s="531"/>
      <c r="O6" s="531"/>
      <c r="P6" s="531"/>
      <c r="Q6" s="531"/>
      <c r="R6" s="531"/>
      <c r="S6" s="531"/>
      <c r="T6" s="531"/>
      <c r="U6" s="531"/>
      <c r="V6" s="531"/>
      <c r="W6" s="531"/>
      <c r="X6" s="531"/>
      <c r="Y6" s="531"/>
      <c r="Z6" s="531"/>
      <c r="AA6" s="531"/>
      <c r="AB6" s="531"/>
      <c r="AC6" s="531"/>
      <c r="AD6" s="531"/>
      <c r="AE6" s="531"/>
      <c r="AF6" s="531"/>
      <c r="AG6" s="531"/>
      <c r="AH6" s="531"/>
      <c r="AI6" s="531"/>
      <c r="AJ6" s="531"/>
      <c r="AK6" s="531"/>
      <c r="AL6" s="531"/>
    </row>
    <row r="7" spans="1:39" s="13" customFormat="1" ht="10.199999999999999" customHeight="1" x14ac:dyDescent="0.25"/>
    <row r="8" spans="1:39" s="13" customFormat="1" ht="49.5" customHeight="1" x14ac:dyDescent="0.25">
      <c r="A8" s="533" t="s">
        <v>335</v>
      </c>
      <c r="B8" s="533"/>
      <c r="C8" s="533"/>
      <c r="D8" s="533"/>
      <c r="E8" s="533"/>
      <c r="F8" s="533"/>
      <c r="G8" s="533"/>
      <c r="H8" s="533"/>
      <c r="I8" s="533"/>
      <c r="J8" s="533"/>
      <c r="K8" s="533"/>
      <c r="L8" s="533"/>
      <c r="M8" s="533"/>
      <c r="N8" s="533"/>
      <c r="O8" s="533"/>
      <c r="P8" s="533"/>
      <c r="Q8" s="533"/>
      <c r="R8" s="533"/>
      <c r="S8" s="533"/>
      <c r="T8" s="533"/>
      <c r="U8" s="533"/>
      <c r="V8" s="533"/>
      <c r="W8" s="533"/>
      <c r="X8" s="533"/>
      <c r="Y8" s="533"/>
      <c r="Z8" s="533"/>
      <c r="AA8" s="533"/>
      <c r="AB8" s="533"/>
      <c r="AC8" s="533"/>
      <c r="AD8" s="533"/>
      <c r="AE8" s="533"/>
      <c r="AF8" s="533"/>
      <c r="AG8" s="533"/>
      <c r="AH8" s="533"/>
      <c r="AI8" s="533"/>
      <c r="AJ8" s="533"/>
      <c r="AK8" s="533"/>
      <c r="AL8" s="533"/>
      <c r="AM8" s="533"/>
    </row>
    <row r="9" spans="1:39" s="14" customFormat="1" ht="20.25" customHeight="1" x14ac:dyDescent="0.25">
      <c r="B9" s="528"/>
      <c r="C9" s="528"/>
      <c r="D9" s="528"/>
      <c r="E9" s="528"/>
      <c r="F9" s="528"/>
      <c r="G9" s="528"/>
      <c r="H9" s="528"/>
      <c r="I9" s="528"/>
      <c r="J9" s="527" t="s">
        <v>155</v>
      </c>
      <c r="K9" s="527"/>
      <c r="L9" s="527"/>
      <c r="M9" s="527"/>
      <c r="N9" s="527"/>
      <c r="O9" s="527"/>
      <c r="P9" s="527"/>
      <c r="Q9" s="527"/>
      <c r="R9" s="527"/>
      <c r="S9" s="527"/>
      <c r="T9" s="527"/>
      <c r="U9" s="527"/>
      <c r="V9" s="527"/>
      <c r="W9" s="527"/>
      <c r="X9" s="527"/>
      <c r="Y9" s="527"/>
      <c r="Z9" s="527"/>
      <c r="AA9" s="527"/>
      <c r="AB9" s="527"/>
      <c r="AC9" s="527"/>
      <c r="AD9" s="527"/>
      <c r="AE9" s="527"/>
      <c r="AF9" s="527"/>
      <c r="AG9" s="532" t="s">
        <v>327</v>
      </c>
      <c r="AH9" s="532"/>
      <c r="AI9" s="532"/>
      <c r="AJ9" s="532"/>
      <c r="AK9" s="532"/>
      <c r="AL9" s="532"/>
      <c r="AM9" s="532"/>
    </row>
    <row r="10" spans="1:39" s="14" customFormat="1" ht="20.399999999999999" customHeight="1" x14ac:dyDescent="0.25">
      <c r="B10" s="157"/>
      <c r="C10" s="157"/>
      <c r="D10" s="157"/>
      <c r="E10" s="157"/>
      <c r="F10" s="157"/>
      <c r="G10" s="157"/>
      <c r="H10" s="157"/>
      <c r="I10" s="157"/>
      <c r="J10" s="156"/>
      <c r="K10" s="156"/>
      <c r="L10" s="156"/>
      <c r="M10" s="156"/>
      <c r="N10" s="156"/>
      <c r="O10" s="156"/>
      <c r="P10" s="156"/>
      <c r="Q10" s="156"/>
      <c r="R10" s="156"/>
      <c r="S10" s="156"/>
      <c r="T10" s="156"/>
      <c r="U10" s="156"/>
      <c r="V10" s="156"/>
      <c r="W10" s="156"/>
      <c r="X10" s="156"/>
      <c r="Y10" s="156"/>
      <c r="Z10" s="156"/>
      <c r="AA10" s="156"/>
      <c r="AB10" s="156"/>
      <c r="AC10" s="156"/>
      <c r="AD10" s="156"/>
      <c r="AE10" s="156"/>
      <c r="AF10" s="156"/>
      <c r="AG10" s="155"/>
      <c r="AH10" s="155"/>
      <c r="AI10" s="155"/>
      <c r="AJ10" s="155"/>
      <c r="AK10" s="155"/>
      <c r="AL10" s="155"/>
      <c r="AM10" s="155"/>
    </row>
    <row r="11" spans="1:39" s="14" customFormat="1" ht="20.25" customHeight="1" x14ac:dyDescent="0.25">
      <c r="B11" s="153" t="s">
        <v>422</v>
      </c>
      <c r="C11" s="157"/>
      <c r="D11" s="157"/>
      <c r="E11" s="157"/>
      <c r="F11" s="157"/>
      <c r="G11" s="157"/>
      <c r="H11" s="157"/>
      <c r="I11" s="157"/>
      <c r="J11" s="156"/>
      <c r="K11" s="156"/>
      <c r="L11" s="156"/>
      <c r="M11" s="156"/>
      <c r="N11" s="156"/>
      <c r="O11" s="156"/>
      <c r="P11" s="156"/>
      <c r="Q11" s="156"/>
      <c r="R11" s="156"/>
      <c r="S11" s="156"/>
      <c r="T11" s="156"/>
      <c r="U11" s="156"/>
      <c r="V11" s="156"/>
      <c r="W11" s="156"/>
      <c r="X11" s="156"/>
      <c r="Y11" s="156"/>
      <c r="Z11" s="156"/>
      <c r="AA11" s="156"/>
      <c r="AB11" s="156"/>
      <c r="AC11" s="156"/>
      <c r="AD11" s="156"/>
      <c r="AE11" s="156"/>
      <c r="AF11" s="156"/>
      <c r="AG11" s="155"/>
      <c r="AH11" s="155"/>
      <c r="AI11" s="155"/>
      <c r="AJ11" s="155"/>
      <c r="AK11" s="155"/>
      <c r="AL11" s="155"/>
      <c r="AM11" s="155"/>
    </row>
    <row r="12" spans="1:39" s="14" customFormat="1" ht="8.4" customHeight="1" x14ac:dyDescent="0.25">
      <c r="B12" s="181"/>
      <c r="C12" s="157"/>
      <c r="D12" s="157"/>
      <c r="E12" s="157"/>
      <c r="F12" s="157"/>
      <c r="G12" s="157"/>
      <c r="H12" s="157"/>
      <c r="I12" s="157"/>
      <c r="J12" s="156"/>
      <c r="K12" s="156"/>
      <c r="L12" s="156"/>
      <c r="M12" s="156"/>
      <c r="N12" s="156"/>
      <c r="O12" s="156"/>
      <c r="P12" s="156"/>
      <c r="Q12" s="156"/>
      <c r="R12" s="156"/>
      <c r="S12" s="156"/>
      <c r="T12" s="156"/>
      <c r="U12" s="156"/>
      <c r="V12" s="156"/>
      <c r="W12" s="156"/>
      <c r="X12" s="156"/>
      <c r="Y12" s="156"/>
      <c r="Z12" s="156"/>
      <c r="AA12" s="156"/>
      <c r="AB12" s="156"/>
      <c r="AC12" s="156"/>
      <c r="AD12" s="156"/>
      <c r="AE12" s="156"/>
      <c r="AF12" s="156"/>
      <c r="AG12" s="155"/>
      <c r="AH12" s="155"/>
      <c r="AI12" s="155"/>
      <c r="AJ12" s="155"/>
      <c r="AK12" s="155"/>
      <c r="AL12" s="155"/>
      <c r="AM12" s="155"/>
    </row>
    <row r="13" spans="1:39" s="14" customFormat="1" ht="16.2" customHeight="1" x14ac:dyDescent="0.25">
      <c r="B13" s="180"/>
      <c r="C13" s="215" t="s">
        <v>447</v>
      </c>
      <c r="D13" s="157"/>
      <c r="E13" s="115" t="s">
        <v>420</v>
      </c>
      <c r="F13" s="109"/>
      <c r="G13" s="109"/>
      <c r="H13" s="109"/>
      <c r="I13" s="109"/>
      <c r="J13" s="207"/>
      <c r="K13" s="156"/>
      <c r="L13" s="156"/>
      <c r="M13" s="156"/>
      <c r="N13" s="156"/>
      <c r="O13" s="156"/>
      <c r="P13" s="156"/>
      <c r="Q13" s="156"/>
      <c r="R13" s="156"/>
      <c r="S13" s="156"/>
      <c r="T13" s="156"/>
      <c r="U13" s="156"/>
      <c r="V13" s="156"/>
      <c r="W13" s="156"/>
      <c r="X13" s="156"/>
      <c r="Y13" s="156"/>
      <c r="Z13" s="156"/>
      <c r="AA13" s="156"/>
      <c r="AB13" s="156"/>
      <c r="AC13" s="156"/>
      <c r="AD13" s="156"/>
      <c r="AE13" s="156"/>
      <c r="AF13" s="156"/>
      <c r="AG13" s="155"/>
      <c r="AH13" s="155"/>
      <c r="AI13" s="155"/>
      <c r="AJ13" s="155"/>
      <c r="AK13" s="155"/>
      <c r="AL13" s="155"/>
      <c r="AM13" s="155"/>
    </row>
    <row r="14" spans="1:39" s="14" customFormat="1" ht="16.2" customHeight="1" x14ac:dyDescent="0.25">
      <c r="B14" s="180"/>
      <c r="C14" s="157"/>
      <c r="D14" s="157"/>
      <c r="E14" s="115"/>
      <c r="F14" s="109"/>
      <c r="G14" s="109"/>
      <c r="H14" s="109"/>
      <c r="I14" s="109"/>
      <c r="J14" s="207"/>
      <c r="K14" s="156"/>
      <c r="L14" s="156"/>
      <c r="M14" s="156"/>
      <c r="N14" s="156"/>
      <c r="O14" s="156"/>
      <c r="P14" s="156"/>
      <c r="Q14" s="156"/>
      <c r="R14" s="156"/>
      <c r="S14" s="156"/>
      <c r="T14" s="156"/>
      <c r="U14" s="156"/>
      <c r="V14" s="156"/>
      <c r="W14" s="156"/>
      <c r="X14" s="156"/>
      <c r="Y14" s="156"/>
      <c r="Z14" s="156"/>
      <c r="AA14" s="156"/>
      <c r="AB14" s="156"/>
      <c r="AC14" s="156"/>
      <c r="AD14" s="156"/>
      <c r="AE14" s="156"/>
      <c r="AF14" s="156"/>
      <c r="AG14" s="155"/>
      <c r="AH14" s="155"/>
      <c r="AI14" s="155"/>
      <c r="AJ14" s="155"/>
      <c r="AK14" s="155"/>
      <c r="AL14" s="155"/>
      <c r="AM14" s="155"/>
    </row>
    <row r="15" spans="1:39" s="14" customFormat="1" ht="16.2" customHeight="1" x14ac:dyDescent="0.25">
      <c r="B15" s="157"/>
      <c r="C15" s="208" t="str">
        <f>IF(C13="X"," ","X")</f>
        <v xml:space="preserve"> </v>
      </c>
      <c r="D15" s="157"/>
      <c r="E15" s="115" t="s">
        <v>421</v>
      </c>
      <c r="F15" s="109"/>
      <c r="G15" s="109"/>
      <c r="H15" s="109"/>
      <c r="I15" s="109"/>
      <c r="J15" s="207"/>
      <c r="K15" s="156"/>
      <c r="L15" s="156"/>
      <c r="M15" s="156"/>
      <c r="N15" s="156"/>
      <c r="O15" s="156"/>
      <c r="P15" s="156"/>
      <c r="Q15" s="156"/>
      <c r="R15" s="156"/>
      <c r="S15" s="156"/>
      <c r="T15" s="156"/>
      <c r="U15" s="156"/>
      <c r="V15" s="156"/>
      <c r="W15" s="156"/>
      <c r="X15" s="156"/>
      <c r="Y15" s="156"/>
      <c r="Z15" s="156"/>
      <c r="AA15" s="156"/>
      <c r="AB15" s="156"/>
      <c r="AC15" s="156"/>
      <c r="AD15" s="156"/>
      <c r="AE15" s="156"/>
      <c r="AF15" s="156"/>
      <c r="AG15" s="155"/>
      <c r="AH15" s="155"/>
      <c r="AI15" s="155"/>
      <c r="AJ15" s="155"/>
      <c r="AK15" s="155"/>
      <c r="AL15" s="155"/>
      <c r="AM15" s="155"/>
    </row>
    <row r="16" spans="1:39" s="13" customFormat="1" ht="20.25" customHeight="1" x14ac:dyDescent="0.25"/>
    <row r="17" spans="1:39" s="13" customFormat="1" ht="20.25" customHeight="1" thickBot="1" x14ac:dyDescent="0.3"/>
    <row r="18" spans="1:39" s="15" customFormat="1" ht="20.25" customHeight="1" thickBot="1" x14ac:dyDescent="0.3">
      <c r="A18" s="500" t="s">
        <v>0</v>
      </c>
      <c r="B18" s="501"/>
      <c r="C18" s="501"/>
      <c r="D18" s="501"/>
      <c r="E18" s="501"/>
      <c r="F18" s="501"/>
      <c r="G18" s="501"/>
      <c r="H18" s="501"/>
      <c r="I18" s="501"/>
      <c r="J18" s="501"/>
      <c r="K18" s="501"/>
      <c r="L18" s="501"/>
      <c r="M18" s="501"/>
      <c r="N18" s="501"/>
      <c r="O18" s="501"/>
      <c r="P18" s="501"/>
      <c r="Q18" s="501"/>
      <c r="R18" s="501"/>
      <c r="S18" s="501"/>
      <c r="T18" s="501"/>
      <c r="U18" s="501"/>
      <c r="V18" s="501"/>
      <c r="W18" s="501"/>
      <c r="X18" s="501"/>
      <c r="Y18" s="501"/>
      <c r="Z18" s="501"/>
      <c r="AA18" s="501"/>
      <c r="AB18" s="501"/>
      <c r="AC18" s="501"/>
      <c r="AD18" s="501"/>
      <c r="AE18" s="501"/>
      <c r="AF18" s="501"/>
      <c r="AG18" s="501"/>
      <c r="AH18" s="501"/>
      <c r="AI18" s="501"/>
      <c r="AJ18" s="501"/>
      <c r="AK18" s="501"/>
      <c r="AL18" s="501"/>
      <c r="AM18" s="502"/>
    </row>
    <row r="19" spans="1:39" s="15" customFormat="1" ht="20.25" customHeight="1" x14ac:dyDescent="0.25">
      <c r="Y19" s="16"/>
    </row>
    <row r="20" spans="1:39" s="99" customFormat="1" ht="17.399999999999999" x14ac:dyDescent="0.3">
      <c r="A20" s="253" t="s">
        <v>156</v>
      </c>
      <c r="B20" s="254"/>
      <c r="C20" s="98"/>
      <c r="D20" s="98"/>
      <c r="E20" s="98"/>
      <c r="F20" s="98"/>
      <c r="G20" s="98"/>
      <c r="H20" s="98"/>
      <c r="I20" s="98"/>
      <c r="J20" s="98"/>
      <c r="K20" s="98"/>
      <c r="L20" s="98"/>
      <c r="M20" s="98"/>
      <c r="N20" s="98"/>
      <c r="O20" s="98"/>
      <c r="P20" s="98"/>
      <c r="Q20" s="98"/>
      <c r="R20" s="98"/>
      <c r="S20" s="98"/>
      <c r="T20" s="98"/>
      <c r="U20" s="98"/>
      <c r="V20" s="98"/>
      <c r="W20" s="98"/>
      <c r="X20" s="98"/>
      <c r="Y20" s="98"/>
      <c r="Z20" s="98"/>
      <c r="AA20" s="98"/>
      <c r="AB20" s="98"/>
      <c r="AC20" s="98"/>
      <c r="AD20" s="98"/>
      <c r="AE20" s="98"/>
      <c r="AF20" s="98"/>
      <c r="AG20" s="98"/>
      <c r="AH20" s="98"/>
      <c r="AI20" s="98"/>
      <c r="AJ20" s="98"/>
      <c r="AK20" s="98"/>
      <c r="AL20" s="98"/>
      <c r="AM20" s="98"/>
    </row>
    <row r="21" spans="1:39" s="99" customFormat="1" ht="14.4" customHeight="1" x14ac:dyDescent="0.3">
      <c r="A21" s="2" t="s">
        <v>157</v>
      </c>
      <c r="B21" s="18"/>
    </row>
    <row r="22" spans="1:39" s="99" customFormat="1" ht="14.4" customHeight="1" x14ac:dyDescent="0.25"/>
    <row r="23" spans="1:39" s="99" customFormat="1" ht="14.4" customHeight="1" x14ac:dyDescent="0.3">
      <c r="B23" s="2" t="s">
        <v>159</v>
      </c>
      <c r="C23" s="1"/>
      <c r="D23" s="1"/>
      <c r="E23" s="1"/>
    </row>
    <row r="24" spans="1:39" s="1" customFormat="1" ht="21" x14ac:dyDescent="0.4">
      <c r="A24" s="18"/>
      <c r="B24" s="18" t="s">
        <v>158</v>
      </c>
      <c r="C24" s="18"/>
      <c r="D24" s="18"/>
      <c r="E24" s="18"/>
      <c r="F24" s="18"/>
      <c r="G24" s="18"/>
      <c r="H24" s="18"/>
      <c r="I24" s="18"/>
      <c r="J24" s="114"/>
      <c r="K24" s="152"/>
      <c r="L24" s="152"/>
      <c r="M24" s="152"/>
      <c r="N24" s="152"/>
      <c r="O24" s="152"/>
      <c r="P24" s="152"/>
      <c r="Q24" s="152"/>
      <c r="R24" s="152"/>
      <c r="S24" s="152"/>
      <c r="T24" s="152"/>
      <c r="U24" s="152"/>
      <c r="V24" s="152"/>
      <c r="W24" s="152"/>
      <c r="X24" s="152"/>
      <c r="Y24" s="152"/>
      <c r="Z24" s="152"/>
      <c r="AA24" s="152"/>
      <c r="AB24" s="152"/>
      <c r="AC24" s="152"/>
      <c r="AD24" s="152"/>
      <c r="AE24" s="152"/>
      <c r="AF24" s="152"/>
      <c r="AG24" s="152"/>
      <c r="AH24" s="152"/>
      <c r="AI24" s="152"/>
      <c r="AJ24" s="152"/>
      <c r="AK24" s="152"/>
      <c r="AL24" s="152"/>
    </row>
    <row r="25" spans="1:39" s="1" customFormat="1" ht="13.5" customHeight="1" x14ac:dyDescent="0.4">
      <c r="A25" s="18"/>
      <c r="B25" s="18"/>
      <c r="C25" s="18"/>
      <c r="D25" s="18"/>
      <c r="E25" s="18"/>
      <c r="F25" s="18"/>
      <c r="G25" s="18"/>
      <c r="H25" s="18"/>
      <c r="I25" s="18"/>
      <c r="J25" s="358"/>
      <c r="K25" s="358"/>
      <c r="L25" s="358"/>
      <c r="M25" s="358"/>
      <c r="N25" s="358"/>
      <c r="O25" s="358"/>
      <c r="P25" s="358"/>
      <c r="Q25" s="358"/>
      <c r="R25" s="358"/>
      <c r="S25" s="358"/>
      <c r="T25" s="358"/>
      <c r="U25" s="358"/>
      <c r="V25" s="358"/>
      <c r="W25" s="358"/>
      <c r="X25" s="358"/>
      <c r="Y25" s="358"/>
      <c r="Z25" s="358"/>
      <c r="AA25" s="358"/>
      <c r="AB25" s="358"/>
      <c r="AC25" s="358"/>
      <c r="AD25" s="358"/>
      <c r="AE25" s="358"/>
      <c r="AF25" s="358"/>
      <c r="AG25" s="358"/>
      <c r="AH25" s="358"/>
      <c r="AI25" s="358"/>
      <c r="AJ25" s="358"/>
      <c r="AK25" s="358"/>
      <c r="AL25" s="358"/>
    </row>
    <row r="26" spans="1:39" s="1" customFormat="1" ht="21" x14ac:dyDescent="0.4">
      <c r="A26" s="18"/>
      <c r="B26" s="18"/>
      <c r="C26" s="18"/>
      <c r="D26" s="18" t="s">
        <v>963</v>
      </c>
      <c r="E26" s="18"/>
      <c r="F26" s="18"/>
      <c r="G26" s="18"/>
      <c r="H26" s="536" t="s">
        <v>964</v>
      </c>
      <c r="I26" s="536"/>
      <c r="J26" s="537"/>
      <c r="K26" s="537"/>
      <c r="L26" s="537"/>
      <c r="M26" s="537"/>
      <c r="N26" s="537"/>
      <c r="O26" s="537"/>
      <c r="P26" s="537"/>
      <c r="Q26" s="537"/>
      <c r="R26" s="537"/>
      <c r="S26" s="537"/>
      <c r="T26" s="537"/>
      <c r="U26" s="359"/>
      <c r="V26" s="359" t="s">
        <v>965</v>
      </c>
      <c r="W26" s="538"/>
      <c r="X26" s="538"/>
      <c r="Y26" s="538"/>
      <c r="Z26" s="359" t="s">
        <v>966</v>
      </c>
      <c r="AA26" s="537"/>
      <c r="AB26" s="537"/>
      <c r="AC26" s="537"/>
      <c r="AD26" s="537"/>
      <c r="AE26" s="537"/>
      <c r="AF26" s="537"/>
      <c r="AG26" s="537"/>
      <c r="AH26" s="537"/>
      <c r="AI26" s="537"/>
      <c r="AJ26" s="537"/>
      <c r="AK26" s="537"/>
      <c r="AL26" s="537"/>
    </row>
    <row r="27" spans="1:39" s="1" customFormat="1" ht="14.4" customHeight="1" x14ac:dyDescent="0.3">
      <c r="B27" s="18"/>
      <c r="C27" s="18"/>
      <c r="D27" s="18"/>
      <c r="E27" s="18"/>
      <c r="F27" s="18"/>
      <c r="G27" s="18"/>
      <c r="H27" s="18"/>
      <c r="I27" s="18"/>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row>
    <row r="28" spans="1:39" s="1" customFormat="1" ht="21" customHeight="1" x14ac:dyDescent="0.3">
      <c r="C28" s="18"/>
      <c r="E28" s="18"/>
      <c r="F28" s="18"/>
      <c r="G28" s="18"/>
      <c r="H28" s="18"/>
      <c r="I28" s="18"/>
      <c r="J28" s="18" t="s">
        <v>160</v>
      </c>
      <c r="S28" s="514"/>
      <c r="T28" s="514"/>
      <c r="U28" s="514"/>
      <c r="V28" s="514"/>
      <c r="W28" s="514"/>
      <c r="X28" s="514"/>
      <c r="Y28" s="514"/>
      <c r="Z28" s="514"/>
      <c r="AA28" s="153"/>
      <c r="AB28" s="153"/>
      <c r="AC28" s="11" t="s">
        <v>961</v>
      </c>
      <c r="AE28" s="525"/>
      <c r="AF28" s="525"/>
      <c r="AG28" s="525"/>
      <c r="AH28" s="525"/>
      <c r="AI28" s="525"/>
      <c r="AJ28" s="525"/>
      <c r="AK28" s="525"/>
      <c r="AL28" s="525"/>
    </row>
    <row r="29" spans="1:39" s="1" customFormat="1" ht="14.4" customHeight="1" x14ac:dyDescent="0.3">
      <c r="B29" s="18"/>
      <c r="C29" s="18"/>
      <c r="D29" s="18"/>
      <c r="E29" s="18"/>
      <c r="F29" s="18"/>
      <c r="G29" s="18"/>
      <c r="H29" s="18"/>
      <c r="I29" s="18"/>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row>
    <row r="30" spans="1:39" s="1" customFormat="1" ht="21" x14ac:dyDescent="0.4">
      <c r="B30" s="18" t="s">
        <v>14</v>
      </c>
      <c r="C30" s="18"/>
      <c r="D30" s="18"/>
      <c r="E30" s="18"/>
      <c r="F30" s="18"/>
      <c r="G30" s="18"/>
      <c r="H30" s="18"/>
      <c r="I30" s="18"/>
      <c r="J30" s="216"/>
      <c r="K30" s="152"/>
      <c r="L30" s="152"/>
      <c r="M30" s="152"/>
      <c r="N30" s="152"/>
      <c r="O30" s="152"/>
      <c r="P30" s="152"/>
      <c r="Q30" s="152"/>
      <c r="R30" s="152"/>
      <c r="S30" s="152"/>
      <c r="T30" s="152"/>
      <c r="U30" s="152"/>
      <c r="V30" s="152"/>
      <c r="W30" s="152"/>
      <c r="X30" s="152"/>
      <c r="Y30" s="152"/>
      <c r="Z30" s="152"/>
      <c r="AA30" s="152"/>
      <c r="AB30" s="152"/>
      <c r="AC30" s="152"/>
      <c r="AD30" s="152"/>
      <c r="AE30" s="152"/>
      <c r="AF30" s="152"/>
      <c r="AG30" s="152"/>
      <c r="AH30" s="152"/>
      <c r="AI30" s="152"/>
      <c r="AJ30" s="152"/>
      <c r="AK30" s="152"/>
      <c r="AL30" s="152"/>
    </row>
    <row r="31" spans="1:39" s="1" customFormat="1" ht="14.4" customHeight="1" x14ac:dyDescent="0.3">
      <c r="B31" s="2"/>
      <c r="C31" s="18"/>
    </row>
    <row r="32" spans="1:39" s="99" customFormat="1" ht="21" customHeight="1" x14ac:dyDescent="0.3">
      <c r="B32" s="2" t="s">
        <v>1</v>
      </c>
      <c r="C32" s="1"/>
      <c r="D32" s="1"/>
      <c r="E32" s="1"/>
      <c r="J32" s="296" t="str">
        <f>IF(S28="Titolare di azienda agricola omonima","ditta individuale"," ")</f>
        <v xml:space="preserve"> </v>
      </c>
      <c r="K32" s="297"/>
      <c r="L32" s="297"/>
      <c r="M32" s="297"/>
      <c r="N32" s="297"/>
      <c r="O32" s="297"/>
      <c r="P32" s="297"/>
      <c r="S32" s="515" t="s">
        <v>855</v>
      </c>
      <c r="T32" s="515"/>
      <c r="U32" s="515"/>
      <c r="V32" s="515"/>
      <c r="W32" s="515"/>
      <c r="X32" s="515"/>
      <c r="Y32" s="515"/>
      <c r="Z32" s="515"/>
      <c r="AA32" s="515"/>
      <c r="AB32" s="515"/>
      <c r="AC32" s="515"/>
      <c r="AD32" s="515"/>
      <c r="AE32" s="515"/>
      <c r="AF32" s="515"/>
      <c r="AG32" s="515"/>
      <c r="AI32"/>
      <c r="AL32" s="19"/>
    </row>
    <row r="33" spans="2:38" s="103" customFormat="1" ht="20.25" customHeight="1" x14ac:dyDescent="0.3">
      <c r="B33" s="2"/>
      <c r="C33" s="3"/>
      <c r="D33" s="3"/>
      <c r="E33" s="3"/>
      <c r="F33" s="100" t="s">
        <v>970</v>
      </c>
      <c r="J33" s="363"/>
      <c r="K33" s="364"/>
      <c r="L33" s="364"/>
      <c r="M33" s="364"/>
      <c r="N33" s="364"/>
      <c r="O33" s="364"/>
      <c r="P33" s="364"/>
      <c r="S33" s="2"/>
      <c r="T33" s="2"/>
      <c r="U33" s="2"/>
      <c r="V33" s="2"/>
      <c r="W33" s="2"/>
      <c r="X33" s="2"/>
      <c r="Y33" s="2"/>
      <c r="Z33" s="2"/>
      <c r="AA33" s="2"/>
      <c r="AB33" s="2"/>
      <c r="AC33" s="2"/>
      <c r="AD33" s="2"/>
      <c r="AE33" s="2"/>
      <c r="AF33" s="2"/>
      <c r="AG33" s="2"/>
      <c r="AI33" s="362"/>
      <c r="AL33" s="100"/>
    </row>
    <row r="34" spans="2:38" s="103" customFormat="1" ht="20.25" customHeight="1" x14ac:dyDescent="0.3">
      <c r="B34" s="2"/>
      <c r="C34" s="3"/>
      <c r="E34" s="3"/>
      <c r="F34" s="100"/>
      <c r="J34" s="363"/>
      <c r="K34" s="364"/>
      <c r="L34" s="364"/>
      <c r="M34" s="364"/>
      <c r="N34" s="364"/>
      <c r="O34" s="364"/>
      <c r="P34" s="364"/>
      <c r="S34" s="2"/>
      <c r="T34" s="2"/>
      <c r="U34" s="2"/>
      <c r="V34" s="2"/>
      <c r="W34" s="2"/>
      <c r="X34" s="2"/>
      <c r="Y34" s="2"/>
      <c r="Z34" s="2"/>
      <c r="AA34" s="2"/>
      <c r="AB34" s="2"/>
      <c r="AC34" s="2"/>
      <c r="AD34" s="2"/>
      <c r="AE34" s="2"/>
      <c r="AF34" s="2"/>
      <c r="AG34" s="2"/>
      <c r="AI34" s="362"/>
      <c r="AL34" s="100"/>
    </row>
    <row r="35" spans="2:38" s="103" customFormat="1" ht="20.25" customHeight="1" x14ac:dyDescent="0.3">
      <c r="B35" s="2"/>
      <c r="C35" s="2" t="s">
        <v>971</v>
      </c>
      <c r="D35" s="3"/>
      <c r="E35" s="3"/>
      <c r="F35" s="100"/>
      <c r="J35" s="363"/>
      <c r="K35" s="364"/>
      <c r="L35" s="364"/>
      <c r="M35" s="364"/>
      <c r="N35" s="364"/>
      <c r="O35" s="364"/>
      <c r="P35" s="364"/>
      <c r="S35" s="2"/>
      <c r="T35" s="2"/>
      <c r="U35" s="2"/>
      <c r="V35" s="2"/>
      <c r="W35" s="2"/>
      <c r="X35" s="2"/>
      <c r="Y35" s="2"/>
      <c r="Z35" s="2"/>
      <c r="AA35" s="2"/>
      <c r="AB35" s="2"/>
      <c r="AC35" s="2"/>
      <c r="AD35" s="2"/>
      <c r="AE35" s="2"/>
      <c r="AF35" s="2"/>
      <c r="AG35" s="2"/>
      <c r="AI35" s="362"/>
      <c r="AL35" s="100"/>
    </row>
    <row r="36" spans="2:38" s="103" customFormat="1" ht="20.25" customHeight="1" x14ac:dyDescent="0.3">
      <c r="B36" s="2"/>
      <c r="C36" s="3"/>
      <c r="D36" s="3"/>
      <c r="E36" s="3"/>
      <c r="F36" s="100"/>
      <c r="J36" s="363"/>
      <c r="K36" s="364"/>
      <c r="L36" s="364"/>
      <c r="M36" s="364"/>
      <c r="N36" s="364"/>
      <c r="O36" s="364"/>
      <c r="P36" s="364"/>
      <c r="S36" s="2"/>
      <c r="T36" s="2"/>
      <c r="U36" s="2"/>
      <c r="V36" s="2"/>
      <c r="W36" s="2"/>
      <c r="X36" s="2"/>
      <c r="Y36" s="2"/>
      <c r="Z36" s="2"/>
      <c r="AA36" s="2"/>
      <c r="AB36" s="2"/>
      <c r="AC36" s="2"/>
      <c r="AD36" s="2"/>
      <c r="AE36" s="2"/>
      <c r="AF36" s="539" t="s">
        <v>975</v>
      </c>
      <c r="AG36" s="539"/>
      <c r="AH36" s="539"/>
      <c r="AI36" s="365"/>
      <c r="AJ36" s="365"/>
      <c r="AK36" s="365"/>
      <c r="AL36" s="100"/>
    </row>
    <row r="37" spans="2:38" s="103" customFormat="1" ht="20.25" customHeight="1" x14ac:dyDescent="0.3">
      <c r="B37" s="2"/>
      <c r="C37" s="540" t="s">
        <v>972</v>
      </c>
      <c r="D37" s="540"/>
      <c r="E37" s="540"/>
      <c r="F37" s="540"/>
      <c r="G37" s="540"/>
      <c r="H37" s="540"/>
      <c r="I37" s="540"/>
      <c r="J37" s="540"/>
      <c r="K37" s="540"/>
      <c r="L37" s="540"/>
      <c r="M37" s="540"/>
      <c r="N37" s="540"/>
      <c r="O37" s="540"/>
      <c r="P37" s="540"/>
      <c r="Q37" s="540"/>
      <c r="R37" s="540"/>
      <c r="S37" s="2"/>
      <c r="T37" s="540" t="s">
        <v>973</v>
      </c>
      <c r="U37" s="540"/>
      <c r="V37" s="540"/>
      <c r="W37" s="540"/>
      <c r="X37" s="540"/>
      <c r="Y37" s="540"/>
      <c r="Z37" s="540"/>
      <c r="AA37" s="2"/>
      <c r="AB37" s="540" t="s">
        <v>974</v>
      </c>
      <c r="AC37" s="540"/>
      <c r="AD37" s="540"/>
      <c r="AE37" s="2"/>
      <c r="AF37" s="539"/>
      <c r="AG37" s="539"/>
      <c r="AH37" s="539"/>
      <c r="AI37" s="365"/>
      <c r="AJ37" s="365"/>
      <c r="AK37" s="365"/>
      <c r="AL37" s="100"/>
    </row>
    <row r="38" spans="2:38" s="103" customFormat="1" ht="10.5" customHeight="1" x14ac:dyDescent="0.3">
      <c r="B38" s="2"/>
      <c r="C38" s="3"/>
      <c r="D38" s="3"/>
      <c r="E38" s="3"/>
      <c r="F38" s="100"/>
      <c r="J38" s="363"/>
      <c r="K38" s="364"/>
      <c r="L38" s="364"/>
      <c r="M38" s="364"/>
      <c r="N38" s="364"/>
      <c r="O38" s="364"/>
      <c r="P38" s="364"/>
      <c r="S38" s="2"/>
      <c r="T38" s="2"/>
      <c r="U38" s="2"/>
      <c r="V38" s="2"/>
      <c r="W38" s="2"/>
      <c r="X38" s="2"/>
      <c r="Y38" s="2"/>
      <c r="Z38" s="2"/>
      <c r="AA38" s="2"/>
      <c r="AB38" s="2"/>
      <c r="AC38" s="2"/>
      <c r="AD38" s="2"/>
      <c r="AE38" s="2"/>
      <c r="AF38" s="2"/>
      <c r="AG38" s="2"/>
      <c r="AI38" s="362"/>
      <c r="AL38" s="100"/>
    </row>
    <row r="39" spans="2:38" s="103" customFormat="1" ht="21" customHeight="1" x14ac:dyDescent="0.3">
      <c r="B39" s="2"/>
      <c r="C39" s="544"/>
      <c r="D39" s="544"/>
      <c r="E39" s="544"/>
      <c r="F39" s="544"/>
      <c r="G39" s="544"/>
      <c r="H39" s="544"/>
      <c r="I39" s="544"/>
      <c r="J39" s="544"/>
      <c r="K39" s="544"/>
      <c r="L39" s="544"/>
      <c r="M39" s="544"/>
      <c r="N39" s="544"/>
      <c r="O39" s="544"/>
      <c r="P39" s="544"/>
      <c r="Q39" s="544"/>
      <c r="R39" s="544"/>
      <c r="S39" s="2"/>
      <c r="T39" s="534"/>
      <c r="U39" s="534"/>
      <c r="V39" s="534"/>
      <c r="W39" s="534"/>
      <c r="X39" s="534"/>
      <c r="Y39" s="534"/>
      <c r="Z39" s="534"/>
      <c r="AA39" s="2"/>
      <c r="AB39" s="541"/>
      <c r="AC39" s="541"/>
      <c r="AD39" s="541"/>
      <c r="AE39" s="2"/>
      <c r="AF39" s="2"/>
      <c r="AG39" s="390"/>
      <c r="AI39" s="362"/>
      <c r="AL39" s="100"/>
    </row>
    <row r="40" spans="2:38" s="103" customFormat="1" ht="21" customHeight="1" x14ac:dyDescent="0.3">
      <c r="B40" s="2"/>
      <c r="C40" s="544"/>
      <c r="D40" s="544"/>
      <c r="E40" s="544"/>
      <c r="F40" s="544"/>
      <c r="G40" s="544"/>
      <c r="H40" s="544"/>
      <c r="I40" s="544"/>
      <c r="J40" s="544"/>
      <c r="K40" s="544"/>
      <c r="L40" s="544"/>
      <c r="M40" s="544"/>
      <c r="N40" s="544"/>
      <c r="O40" s="544"/>
      <c r="P40" s="544"/>
      <c r="Q40" s="544"/>
      <c r="R40" s="544"/>
      <c r="S40" s="2"/>
      <c r="T40" s="534"/>
      <c r="U40" s="534"/>
      <c r="V40" s="534"/>
      <c r="W40" s="534"/>
      <c r="X40" s="534"/>
      <c r="Y40" s="534"/>
      <c r="Z40" s="534"/>
      <c r="AA40" s="2"/>
      <c r="AB40" s="541"/>
      <c r="AC40" s="541"/>
      <c r="AD40" s="541"/>
      <c r="AE40" s="2"/>
      <c r="AF40" s="2"/>
      <c r="AG40" s="390"/>
      <c r="AI40" s="362"/>
      <c r="AL40" s="100"/>
    </row>
    <row r="41" spans="2:38" s="103" customFormat="1" ht="21" customHeight="1" x14ac:dyDescent="0.3">
      <c r="B41" s="2"/>
      <c r="C41" s="544"/>
      <c r="D41" s="544"/>
      <c r="E41" s="544"/>
      <c r="F41" s="544"/>
      <c r="G41" s="544"/>
      <c r="H41" s="544"/>
      <c r="I41" s="544"/>
      <c r="J41" s="544"/>
      <c r="K41" s="544"/>
      <c r="L41" s="544"/>
      <c r="M41" s="544"/>
      <c r="N41" s="544"/>
      <c r="O41" s="544"/>
      <c r="P41" s="544"/>
      <c r="Q41" s="544"/>
      <c r="R41" s="544"/>
      <c r="S41" s="2"/>
      <c r="T41" s="534"/>
      <c r="U41" s="534"/>
      <c r="V41" s="534"/>
      <c r="W41" s="534"/>
      <c r="X41" s="534"/>
      <c r="Y41" s="534"/>
      <c r="Z41" s="534"/>
      <c r="AA41" s="2"/>
      <c r="AB41" s="541"/>
      <c r="AC41" s="541"/>
      <c r="AD41" s="541"/>
      <c r="AE41" s="2"/>
      <c r="AF41" s="2"/>
      <c r="AG41" s="390"/>
      <c r="AI41" s="362"/>
      <c r="AL41" s="100"/>
    </row>
    <row r="42" spans="2:38" s="103" customFormat="1" ht="21" customHeight="1" x14ac:dyDescent="0.3">
      <c r="B42" s="2"/>
      <c r="C42" s="544"/>
      <c r="D42" s="544"/>
      <c r="E42" s="544"/>
      <c r="F42" s="544"/>
      <c r="G42" s="544"/>
      <c r="H42" s="544"/>
      <c r="I42" s="544"/>
      <c r="J42" s="544"/>
      <c r="K42" s="544"/>
      <c r="L42" s="544"/>
      <c r="M42" s="544"/>
      <c r="N42" s="544"/>
      <c r="O42" s="544"/>
      <c r="P42" s="544"/>
      <c r="Q42" s="544"/>
      <c r="R42" s="544"/>
      <c r="S42" s="2"/>
      <c r="T42" s="534"/>
      <c r="U42" s="534"/>
      <c r="V42" s="534"/>
      <c r="W42" s="534"/>
      <c r="X42" s="534"/>
      <c r="Y42" s="534"/>
      <c r="Z42" s="534"/>
      <c r="AA42" s="2"/>
      <c r="AB42" s="541"/>
      <c r="AC42" s="541"/>
      <c r="AD42" s="541"/>
      <c r="AE42" s="2"/>
      <c r="AF42" s="2"/>
      <c r="AG42" s="390"/>
      <c r="AI42" s="362"/>
      <c r="AL42" s="100"/>
    </row>
    <row r="43" spans="2:38" s="103" customFormat="1" ht="21" customHeight="1" x14ac:dyDescent="0.3">
      <c r="B43" s="2"/>
      <c r="C43" s="544"/>
      <c r="D43" s="544"/>
      <c r="E43" s="544"/>
      <c r="F43" s="544"/>
      <c r="G43" s="544"/>
      <c r="H43" s="544"/>
      <c r="I43" s="544"/>
      <c r="J43" s="544"/>
      <c r="K43" s="544"/>
      <c r="L43" s="544"/>
      <c r="M43" s="544"/>
      <c r="N43" s="544"/>
      <c r="O43" s="544"/>
      <c r="P43" s="544"/>
      <c r="Q43" s="544"/>
      <c r="R43" s="544"/>
      <c r="S43" s="2"/>
      <c r="T43" s="534"/>
      <c r="U43" s="534"/>
      <c r="V43" s="534"/>
      <c r="W43" s="534"/>
      <c r="X43" s="534"/>
      <c r="Y43" s="534"/>
      <c r="Z43" s="534"/>
      <c r="AA43" s="2"/>
      <c r="AB43" s="541"/>
      <c r="AC43" s="541"/>
      <c r="AD43" s="541"/>
      <c r="AE43" s="2"/>
      <c r="AF43" s="2"/>
      <c r="AG43" s="390"/>
      <c r="AI43" s="362"/>
      <c r="AL43" s="100"/>
    </row>
    <row r="44" spans="2:38" s="103" customFormat="1" ht="21" customHeight="1" x14ac:dyDescent="0.3">
      <c r="B44" s="2"/>
      <c r="C44" s="544"/>
      <c r="D44" s="544"/>
      <c r="E44" s="544"/>
      <c r="F44" s="544"/>
      <c r="G44" s="544"/>
      <c r="H44" s="544"/>
      <c r="I44" s="544"/>
      <c r="J44" s="544"/>
      <c r="K44" s="544"/>
      <c r="L44" s="544"/>
      <c r="M44" s="544"/>
      <c r="N44" s="544"/>
      <c r="O44" s="544"/>
      <c r="P44" s="544"/>
      <c r="Q44" s="544"/>
      <c r="R44" s="544"/>
      <c r="S44" s="2"/>
      <c r="T44" s="534"/>
      <c r="U44" s="534"/>
      <c r="V44" s="534"/>
      <c r="W44" s="534"/>
      <c r="X44" s="534"/>
      <c r="Y44" s="534"/>
      <c r="Z44" s="534"/>
      <c r="AA44" s="2"/>
      <c r="AB44" s="541"/>
      <c r="AC44" s="541"/>
      <c r="AD44" s="541"/>
      <c r="AE44" s="2"/>
      <c r="AF44" s="2"/>
      <c r="AG44" s="390"/>
      <c r="AI44" s="362"/>
      <c r="AL44" s="100"/>
    </row>
    <row r="45" spans="2:38" s="103" customFormat="1" ht="21" customHeight="1" x14ac:dyDescent="0.3">
      <c r="B45" s="2"/>
      <c r="C45" s="388"/>
      <c r="D45" s="388"/>
      <c r="E45" s="388"/>
      <c r="F45" s="388"/>
      <c r="G45" s="388"/>
      <c r="H45" s="388"/>
      <c r="I45" s="388"/>
      <c r="J45" s="388"/>
      <c r="K45" s="388"/>
      <c r="L45" s="388"/>
      <c r="M45" s="388"/>
      <c r="N45" s="388"/>
      <c r="O45" s="388"/>
      <c r="P45" s="388"/>
      <c r="Q45" s="388"/>
      <c r="R45" s="388"/>
      <c r="S45" s="2"/>
      <c r="T45" s="380"/>
      <c r="U45" s="380"/>
      <c r="V45" s="380"/>
      <c r="W45" s="380"/>
      <c r="X45" s="380"/>
      <c r="Y45" s="380"/>
      <c r="Z45" s="380"/>
      <c r="AA45" s="2"/>
      <c r="AB45" s="2"/>
      <c r="AC45" s="2"/>
      <c r="AD45" s="2"/>
      <c r="AE45" s="2"/>
      <c r="AF45" s="2"/>
      <c r="AG45" s="391">
        <f>+AG44+AG43+AG42+AG41+AG40+AG39</f>
        <v>0</v>
      </c>
      <c r="AI45" s="362"/>
      <c r="AL45" s="100"/>
    </row>
    <row r="46" spans="2:38" s="1" customFormat="1" ht="20.25" customHeight="1" x14ac:dyDescent="0.35">
      <c r="B46" s="2"/>
      <c r="J46" s="389"/>
      <c r="K46" s="3"/>
      <c r="S46"/>
      <c r="T46" s="3"/>
      <c r="V46" s="7"/>
      <c r="W46" s="8"/>
      <c r="X46" s="8"/>
      <c r="Y46" s="8"/>
      <c r="Z46" s="8"/>
      <c r="AA46" s="8"/>
      <c r="AB46" s="8"/>
      <c r="AC46" s="8"/>
      <c r="AD46" s="8"/>
      <c r="AE46" s="8"/>
      <c r="AF46" s="8"/>
      <c r="AG46" s="8"/>
      <c r="AH46" s="8"/>
      <c r="AL46" s="4"/>
    </row>
    <row r="47" spans="2:38" s="1" customFormat="1" ht="21" customHeight="1" x14ac:dyDescent="0.3">
      <c r="B47" s="2" t="s">
        <v>962</v>
      </c>
      <c r="G47" s="518"/>
      <c r="H47" s="518"/>
      <c r="I47" s="518"/>
      <c r="J47" s="518"/>
      <c r="K47" s="518"/>
      <c r="L47" s="518"/>
      <c r="M47" s="518"/>
      <c r="N47" s="518"/>
      <c r="O47" s="518"/>
      <c r="P47" s="518"/>
      <c r="Q47" s="518"/>
      <c r="R47" s="117" t="s">
        <v>336</v>
      </c>
      <c r="S47" s="519"/>
      <c r="T47" s="519"/>
      <c r="U47" s="519"/>
      <c r="V47" s="519"/>
      <c r="W47" s="519"/>
      <c r="X47" s="519"/>
      <c r="Y47" s="519"/>
      <c r="Z47" s="519"/>
      <c r="AL47" s="4"/>
    </row>
    <row r="48" spans="2:38" s="1" customFormat="1" ht="20.25" customHeight="1" x14ac:dyDescent="0.35">
      <c r="B48" s="2"/>
      <c r="J48" s="5"/>
      <c r="K48" s="3"/>
      <c r="S48" s="5"/>
      <c r="T48" s="3"/>
      <c r="V48" s="7"/>
      <c r="W48" s="8"/>
      <c r="X48" s="8"/>
      <c r="Y48" s="8"/>
      <c r="Z48" s="8"/>
      <c r="AA48" s="8"/>
      <c r="AB48" s="8"/>
      <c r="AC48" s="8"/>
      <c r="AD48" s="8"/>
      <c r="AE48" s="8"/>
      <c r="AF48" s="8"/>
      <c r="AG48" s="8"/>
      <c r="AH48" s="8"/>
      <c r="AL48" s="4"/>
    </row>
    <row r="49" spans="2:43" s="1" customFormat="1" ht="14.4" customHeight="1" x14ac:dyDescent="0.35">
      <c r="B49" s="2" t="s">
        <v>341</v>
      </c>
      <c r="J49" s="5"/>
      <c r="K49" s="3"/>
      <c r="S49" s="5"/>
      <c r="T49" s="3"/>
      <c r="V49" s="7"/>
      <c r="W49" s="8"/>
      <c r="X49" s="8"/>
      <c r="Y49" s="8"/>
      <c r="Z49" s="8"/>
      <c r="AL49" s="4"/>
    </row>
    <row r="50" spans="2:43" s="1" customFormat="1" ht="14.4" customHeight="1" x14ac:dyDescent="0.35">
      <c r="B50" s="2"/>
      <c r="J50" s="5"/>
      <c r="K50" s="3"/>
      <c r="S50" s="5"/>
      <c r="T50" s="3"/>
      <c r="V50" s="7"/>
      <c r="W50" s="8"/>
      <c r="X50" s="8"/>
      <c r="Y50" s="8"/>
      <c r="Z50" s="8"/>
      <c r="AA50" s="8"/>
      <c r="AB50" s="8"/>
      <c r="AC50" s="8"/>
      <c r="AD50" s="8"/>
      <c r="AE50" s="8"/>
      <c r="AF50" s="8"/>
      <c r="AG50" s="8"/>
      <c r="AH50" s="8"/>
      <c r="AL50" s="4"/>
    </row>
    <row r="51" spans="2:43" s="99" customFormat="1" ht="14.4" customHeight="1" x14ac:dyDescent="0.3">
      <c r="B51" s="100"/>
      <c r="J51" s="110"/>
      <c r="K51" s="103"/>
      <c r="AA51" s="112"/>
      <c r="AB51" s="112"/>
      <c r="AQ51" s="361"/>
    </row>
    <row r="52" spans="2:43" s="99" customFormat="1" ht="17.399999999999999" x14ac:dyDescent="0.3">
      <c r="B52" s="100"/>
      <c r="C52" s="95"/>
      <c r="E52" s="517" t="s">
        <v>471</v>
      </c>
      <c r="F52" s="517"/>
      <c r="G52" s="517"/>
      <c r="H52" s="517"/>
      <c r="I52" s="517"/>
      <c r="J52" s="153" t="s">
        <v>342</v>
      </c>
      <c r="K52" s="115"/>
      <c r="L52" s="115"/>
      <c r="R52" s="102"/>
      <c r="S52" s="110"/>
      <c r="T52" s="103"/>
      <c r="U52" s="154"/>
      <c r="V52" s="118"/>
      <c r="W52" s="118"/>
      <c r="X52" s="118"/>
      <c r="Y52" s="118"/>
      <c r="Z52" s="118"/>
      <c r="AA52" s="118"/>
      <c r="AB52" s="118"/>
      <c r="AC52" s="118"/>
      <c r="AD52" s="118"/>
      <c r="AE52" s="118"/>
      <c r="AF52" s="118"/>
      <c r="AG52" s="118"/>
    </row>
    <row r="53" spans="2:43" s="99" customFormat="1" ht="14.4" customHeight="1" x14ac:dyDescent="0.3">
      <c r="B53" s="100"/>
      <c r="J53" s="110"/>
      <c r="K53" s="103"/>
      <c r="S53" s="110"/>
      <c r="T53" s="103"/>
      <c r="V53" s="111"/>
      <c r="W53" s="112"/>
      <c r="X53" s="112"/>
      <c r="Y53" s="112"/>
      <c r="Z53" s="112"/>
      <c r="AA53" s="112"/>
      <c r="AB53" s="112"/>
      <c r="AC53" s="112"/>
      <c r="AD53" s="112"/>
      <c r="AE53" s="112"/>
      <c r="AF53" s="112"/>
      <c r="AG53" s="112"/>
      <c r="AH53" s="112"/>
      <c r="AL53" s="4"/>
    </row>
    <row r="54" spans="2:43" s="99" customFormat="1" ht="14.4" customHeight="1" x14ac:dyDescent="0.3">
      <c r="B54" s="100"/>
      <c r="E54" s="11" t="s">
        <v>340</v>
      </c>
      <c r="J54" s="110"/>
      <c r="K54" s="103"/>
      <c r="M54" s="516"/>
      <c r="N54" s="516"/>
      <c r="O54" s="516"/>
      <c r="P54" s="516"/>
      <c r="Q54" s="516"/>
      <c r="R54" s="516"/>
      <c r="S54" s="516"/>
      <c r="T54" s="516"/>
      <c r="U54" s="516"/>
      <c r="V54" s="516"/>
      <c r="W54" s="516"/>
      <c r="X54" s="516"/>
      <c r="Y54" s="516"/>
      <c r="Z54" s="516"/>
      <c r="AA54" s="112"/>
      <c r="AB54" s="112"/>
      <c r="AC54" s="112"/>
      <c r="AD54" s="112"/>
      <c r="AE54" s="112"/>
      <c r="AF54" s="112"/>
      <c r="AG54" s="112"/>
      <c r="AH54" s="112"/>
      <c r="AL54" s="4"/>
    </row>
    <row r="55" spans="2:43" s="99" customFormat="1" ht="14.4" customHeight="1" x14ac:dyDescent="0.3">
      <c r="B55" s="100"/>
      <c r="E55" s="104"/>
      <c r="J55" s="110"/>
      <c r="K55" s="103"/>
      <c r="S55" s="110"/>
      <c r="T55" s="103"/>
      <c r="V55" s="111"/>
      <c r="W55" s="112"/>
      <c r="X55" s="112"/>
      <c r="Y55" s="112"/>
      <c r="Z55" s="112"/>
      <c r="AA55" s="112"/>
      <c r="AB55" s="112"/>
      <c r="AC55" s="112"/>
      <c r="AD55" s="112"/>
      <c r="AE55" s="112"/>
      <c r="AF55" s="112"/>
      <c r="AG55" s="112"/>
    </row>
    <row r="56" spans="2:43" s="99" customFormat="1" ht="17.399999999999999" x14ac:dyDescent="0.3">
      <c r="B56" s="100"/>
      <c r="C56" s="95"/>
      <c r="E56" s="11" t="s">
        <v>406</v>
      </c>
      <c r="J56" s="110"/>
      <c r="K56" s="103"/>
      <c r="S56" s="110"/>
      <c r="T56" s="103"/>
      <c r="V56" s="111"/>
      <c r="W56" s="112"/>
      <c r="X56" s="112"/>
      <c r="Y56" s="252"/>
      <c r="Z56" s="294"/>
      <c r="AA56" s="112"/>
      <c r="AB56" s="145" t="s">
        <v>348</v>
      </c>
      <c r="AC56" s="112"/>
      <c r="AD56" s="522"/>
      <c r="AE56" s="522"/>
      <c r="AF56" s="522"/>
      <c r="AG56" s="522"/>
    </row>
    <row r="57" spans="2:43" s="99" customFormat="1" ht="15" customHeight="1" x14ac:dyDescent="0.3">
      <c r="B57" s="100"/>
      <c r="E57" s="104"/>
      <c r="J57" s="110"/>
      <c r="K57" s="103"/>
      <c r="S57" s="110"/>
      <c r="T57" s="103"/>
      <c r="V57" s="111"/>
      <c r="W57" s="112"/>
      <c r="X57" s="112"/>
      <c r="Y57" s="112"/>
      <c r="Z57" s="112"/>
      <c r="AA57" s="112"/>
      <c r="AB57" s="112"/>
      <c r="AC57" s="112"/>
      <c r="AD57" s="112"/>
      <c r="AE57" s="112"/>
      <c r="AF57" s="112"/>
      <c r="AG57" s="112"/>
    </row>
    <row r="58" spans="2:43" s="1" customFormat="1" ht="21" customHeight="1" x14ac:dyDescent="0.3">
      <c r="B58" s="2"/>
      <c r="C58" s="9" t="s">
        <v>337</v>
      </c>
      <c r="J58" s="5"/>
      <c r="K58" s="3"/>
      <c r="L58" s="18">
        <f>+J24</f>
        <v>0</v>
      </c>
      <c r="M58"/>
      <c r="O58"/>
      <c r="P58"/>
      <c r="Q58"/>
      <c r="R58"/>
      <c r="S58"/>
      <c r="T58"/>
      <c r="U58"/>
      <c r="V58"/>
      <c r="W58"/>
      <c r="X58"/>
      <c r="Y58"/>
      <c r="Z58"/>
      <c r="AA58"/>
      <c r="AB58"/>
      <c r="AC58"/>
      <c r="AD58" s="360" t="s">
        <v>967</v>
      </c>
      <c r="AE58"/>
      <c r="AF58" s="535"/>
      <c r="AG58" s="535"/>
      <c r="AH58"/>
      <c r="AI58"/>
      <c r="AJ58"/>
      <c r="AK58"/>
      <c r="AL58"/>
    </row>
    <row r="59" spans="2:43" s="1" customFormat="1" ht="14.4" customHeight="1" x14ac:dyDescent="0.35">
      <c r="B59" s="2"/>
      <c r="J59" s="5"/>
      <c r="K59" s="3"/>
      <c r="S59" s="5"/>
      <c r="T59" s="3"/>
      <c r="V59" s="7"/>
      <c r="W59" s="8"/>
      <c r="X59" s="8"/>
      <c r="Y59" s="8"/>
      <c r="Z59" s="8"/>
      <c r="AA59" s="8"/>
      <c r="AB59" s="8"/>
      <c r="AC59" s="8"/>
      <c r="AD59" s="8"/>
      <c r="AE59" s="8"/>
      <c r="AF59" s="8"/>
      <c r="AG59" s="8"/>
      <c r="AH59" s="8"/>
      <c r="AL59" s="4"/>
    </row>
    <row r="60" spans="2:43" s="1" customFormat="1" ht="17.399999999999999" x14ac:dyDescent="0.3">
      <c r="B60" s="2"/>
      <c r="C60" s="25" t="s">
        <v>334</v>
      </c>
      <c r="E60" s="493" t="s">
        <v>926</v>
      </c>
      <c r="F60" s="493"/>
      <c r="G60" s="493"/>
      <c r="H60" s="493"/>
      <c r="I60" s="492" t="s">
        <v>871</v>
      </c>
      <c r="J60" s="492"/>
      <c r="K60" s="492"/>
      <c r="L60" s="492"/>
      <c r="M60" s="492"/>
      <c r="N60" s="492"/>
      <c r="O60" s="492"/>
      <c r="P60" s="492"/>
      <c r="Q60" s="492"/>
      <c r="R60" s="492"/>
      <c r="S60" s="492"/>
      <c r="T60" s="492"/>
      <c r="U60" s="492"/>
      <c r="V60" s="492"/>
      <c r="W60" s="492"/>
      <c r="X60" s="492"/>
      <c r="Y60" s="492"/>
      <c r="Z60" s="492"/>
      <c r="AA60" s="492"/>
      <c r="AB60" s="492"/>
      <c r="AC60" s="492"/>
      <c r="AD60" s="492"/>
      <c r="AE60" s="492"/>
      <c r="AF60" s="492"/>
      <c r="AG60" s="492"/>
      <c r="AH60" s="492"/>
      <c r="AI60" s="492"/>
      <c r="AJ60" s="492"/>
      <c r="AK60" s="492"/>
      <c r="AL60" s="101"/>
    </row>
    <row r="61" spans="2:43" s="1" customFormat="1" ht="24.75" customHeight="1" x14ac:dyDescent="0.3">
      <c r="B61" s="2"/>
      <c r="E61" s="101"/>
      <c r="F61" s="101"/>
      <c r="G61" s="101"/>
      <c r="H61" s="101"/>
      <c r="I61" s="492"/>
      <c r="J61" s="492"/>
      <c r="K61" s="492"/>
      <c r="L61" s="492"/>
      <c r="M61" s="492"/>
      <c r="N61" s="492"/>
      <c r="O61" s="492"/>
      <c r="P61" s="492"/>
      <c r="Q61" s="492"/>
      <c r="R61" s="492"/>
      <c r="S61" s="492"/>
      <c r="T61" s="492"/>
      <c r="U61" s="492"/>
      <c r="V61" s="492"/>
      <c r="W61" s="492"/>
      <c r="X61" s="492"/>
      <c r="Y61" s="492"/>
      <c r="Z61" s="492"/>
      <c r="AA61" s="492"/>
      <c r="AB61" s="492"/>
      <c r="AC61" s="492"/>
      <c r="AD61" s="492"/>
      <c r="AE61" s="492"/>
      <c r="AF61" s="492"/>
      <c r="AG61" s="492"/>
      <c r="AH61" s="492"/>
      <c r="AI61" s="492"/>
      <c r="AJ61" s="492"/>
      <c r="AK61" s="492"/>
      <c r="AL61" s="101"/>
    </row>
    <row r="62" spans="2:43" s="1" customFormat="1" ht="14.25" customHeight="1" x14ac:dyDescent="0.3">
      <c r="B62" s="2"/>
      <c r="E62" s="101"/>
      <c r="F62" s="101"/>
      <c r="G62" s="101"/>
      <c r="H62" s="101"/>
      <c r="I62" s="355"/>
      <c r="J62" s="355"/>
      <c r="K62" s="355"/>
      <c r="L62" s="355"/>
      <c r="M62" s="355"/>
      <c r="N62" s="355"/>
      <c r="O62" s="355"/>
      <c r="P62" s="355"/>
      <c r="Q62" s="355"/>
      <c r="R62" s="355"/>
      <c r="S62" s="355"/>
      <c r="T62" s="355"/>
      <c r="U62" s="355"/>
      <c r="V62" s="355"/>
      <c r="W62" s="355"/>
      <c r="X62" s="355"/>
      <c r="Y62" s="355"/>
      <c r="Z62" s="355"/>
      <c r="AA62" s="355"/>
      <c r="AB62" s="355"/>
      <c r="AC62" s="355"/>
      <c r="AD62" s="355"/>
      <c r="AE62" s="355"/>
      <c r="AF62" s="355"/>
      <c r="AG62" s="355"/>
      <c r="AH62" s="355"/>
      <c r="AI62" s="355"/>
      <c r="AJ62" s="355"/>
      <c r="AK62" s="355"/>
      <c r="AL62" s="101"/>
    </row>
    <row r="63" spans="2:43" s="1" customFormat="1" ht="21" customHeight="1" x14ac:dyDescent="0.3">
      <c r="B63" s="2"/>
      <c r="C63" s="11" t="s">
        <v>968</v>
      </c>
      <c r="E63" s="101"/>
      <c r="F63" s="101"/>
      <c r="G63" s="101"/>
      <c r="H63" s="101"/>
      <c r="I63" s="355"/>
      <c r="J63" s="355"/>
      <c r="K63" s="355"/>
      <c r="L63" s="542"/>
      <c r="M63" s="542"/>
      <c r="N63" s="542"/>
      <c r="O63" s="542"/>
      <c r="P63" s="355"/>
      <c r="Q63" s="355"/>
      <c r="R63" s="355" t="s">
        <v>969</v>
      </c>
      <c r="S63" s="543" t="s">
        <v>1180</v>
      </c>
      <c r="T63" s="543"/>
      <c r="U63" s="543"/>
      <c r="V63" s="543"/>
      <c r="W63" s="543"/>
      <c r="X63" s="543"/>
      <c r="Y63" s="543"/>
      <c r="Z63" s="543"/>
      <c r="AA63" s="543"/>
      <c r="AB63" s="543"/>
      <c r="AC63" s="543"/>
      <c r="AD63" s="543"/>
      <c r="AE63" s="543"/>
      <c r="AF63" s="543"/>
      <c r="AG63" s="543"/>
      <c r="AH63" s="543"/>
      <c r="AI63" s="543"/>
      <c r="AJ63" s="543"/>
      <c r="AK63" s="543"/>
      <c r="AL63" s="543"/>
    </row>
    <row r="64" spans="2:43" s="1" customFormat="1" ht="14.4" customHeight="1" x14ac:dyDescent="0.35">
      <c r="B64" s="2"/>
      <c r="J64" s="5"/>
      <c r="K64" s="3"/>
      <c r="S64" s="5"/>
      <c r="T64" s="3"/>
      <c r="V64" s="7"/>
      <c r="W64" s="8"/>
      <c r="X64" s="8"/>
      <c r="Y64" s="8"/>
      <c r="Z64" s="8"/>
      <c r="AA64" s="8"/>
      <c r="AB64" s="8"/>
      <c r="AC64" s="8"/>
      <c r="AD64" s="8"/>
      <c r="AE64" s="8"/>
      <c r="AF64" s="8"/>
      <c r="AG64" s="8"/>
      <c r="AH64" s="8"/>
      <c r="AL64" s="4"/>
    </row>
    <row r="65" spans="2:42" s="1" customFormat="1" ht="21" customHeight="1" x14ac:dyDescent="0.3">
      <c r="B65" s="2"/>
      <c r="C65" s="11" t="s">
        <v>1172</v>
      </c>
      <c r="J65" s="5"/>
      <c r="K65" s="3"/>
      <c r="S65" s="488"/>
      <c r="T65" s="488"/>
      <c r="U65" s="488"/>
      <c r="V65" s="488"/>
      <c r="W65" s="488"/>
      <c r="X65" s="488"/>
      <c r="Y65" s="488"/>
      <c r="Z65" s="488"/>
      <c r="AA65" s="488"/>
      <c r="AB65" s="488"/>
      <c r="AC65" s="488"/>
      <c r="AD65" s="488"/>
      <c r="AE65" s="488"/>
      <c r="AF65" s="488"/>
      <c r="AG65" s="488"/>
      <c r="AH65" s="488"/>
      <c r="AI65" s="488"/>
      <c r="AJ65" s="488"/>
      <c r="AK65" s="488"/>
      <c r="AL65" s="488"/>
    </row>
    <row r="66" spans="2:42" s="1" customFormat="1" ht="21" customHeight="1" x14ac:dyDescent="0.3">
      <c r="B66" s="2"/>
      <c r="C66" s="11"/>
      <c r="J66" s="5"/>
      <c r="K66" s="3"/>
      <c r="S66" s="396"/>
      <c r="T66" s="396"/>
      <c r="U66" s="396"/>
      <c r="V66" s="396"/>
      <c r="W66" s="396"/>
      <c r="X66" s="396"/>
      <c r="Y66" s="396"/>
      <c r="Z66" s="396"/>
      <c r="AA66" s="396"/>
      <c r="AB66" s="396"/>
      <c r="AC66" s="396"/>
      <c r="AD66" s="396"/>
      <c r="AE66" s="396"/>
      <c r="AF66" s="396"/>
      <c r="AG66" s="396"/>
      <c r="AH66" s="396"/>
      <c r="AI66" s="396"/>
      <c r="AJ66" s="396"/>
      <c r="AK66" s="396"/>
      <c r="AL66" s="396"/>
    </row>
    <row r="67" spans="2:42" s="1" customFormat="1" ht="21" customHeight="1" x14ac:dyDescent="0.3">
      <c r="B67" s="2"/>
      <c r="C67" s="400"/>
      <c r="F67" s="397" t="s">
        <v>1173</v>
      </c>
      <c r="J67" s="5"/>
      <c r="K67" s="3"/>
      <c r="S67" s="396"/>
      <c r="T67" s="396"/>
      <c r="U67" s="396"/>
      <c r="V67" s="396"/>
      <c r="W67" s="396"/>
      <c r="X67" s="396"/>
      <c r="Y67" s="396"/>
      <c r="Z67" s="396"/>
      <c r="AA67" s="396"/>
      <c r="AB67" s="396"/>
      <c r="AC67" s="396"/>
      <c r="AD67" s="396"/>
      <c r="AE67" s="396"/>
      <c r="AF67" s="396"/>
      <c r="AG67" s="396"/>
      <c r="AH67" s="396"/>
      <c r="AI67" s="396"/>
      <c r="AJ67" s="396"/>
      <c r="AK67" s="396"/>
      <c r="AL67" s="396"/>
    </row>
    <row r="68" spans="2:42" s="1" customFormat="1" ht="14.25" customHeight="1" x14ac:dyDescent="0.3">
      <c r="B68" s="2"/>
      <c r="E68" s="101"/>
      <c r="F68" s="398"/>
      <c r="G68" s="101"/>
      <c r="H68" s="101"/>
      <c r="I68" s="355"/>
      <c r="J68" s="355"/>
      <c r="K68" s="355"/>
      <c r="L68" s="355"/>
      <c r="M68" s="355"/>
      <c r="N68" s="355"/>
      <c r="O68" s="355"/>
      <c r="P68" s="355"/>
      <c r="Q68" s="355"/>
      <c r="R68" s="355"/>
      <c r="S68" s="355"/>
      <c r="T68" s="355"/>
      <c r="U68" s="355"/>
      <c r="V68" s="355"/>
      <c r="W68" s="355"/>
      <c r="X68" s="355"/>
      <c r="Y68" s="355"/>
      <c r="Z68" s="355"/>
      <c r="AA68" s="355"/>
      <c r="AB68" s="355"/>
      <c r="AC68" s="355"/>
      <c r="AD68" s="355"/>
      <c r="AE68" s="355"/>
      <c r="AF68" s="355"/>
      <c r="AG68" s="355"/>
      <c r="AH68" s="355"/>
      <c r="AI68" s="355"/>
      <c r="AJ68" s="355"/>
      <c r="AK68" s="355"/>
      <c r="AL68" s="101"/>
    </row>
    <row r="69" spans="2:42" s="1" customFormat="1" ht="21" customHeight="1" x14ac:dyDescent="0.3">
      <c r="B69" s="2"/>
      <c r="C69" s="400"/>
      <c r="F69" s="397" t="s">
        <v>1174</v>
      </c>
      <c r="J69" s="5"/>
      <c r="K69" s="3"/>
      <c r="S69" s="396"/>
      <c r="T69" s="396"/>
      <c r="U69" s="396"/>
      <c r="V69" s="396"/>
      <c r="W69" s="396"/>
      <c r="X69" s="396"/>
      <c r="Y69" s="396"/>
      <c r="Z69" s="396"/>
      <c r="AA69" s="396"/>
      <c r="AB69" s="396"/>
      <c r="AC69" s="396"/>
      <c r="AD69" s="396"/>
      <c r="AE69" s="396"/>
      <c r="AF69" s="396"/>
      <c r="AG69" s="396"/>
      <c r="AH69" s="396"/>
      <c r="AI69" s="396"/>
      <c r="AJ69" s="396"/>
      <c r="AK69" s="396"/>
      <c r="AL69" s="396"/>
    </row>
    <row r="70" spans="2:42" s="1" customFormat="1" ht="14.25" customHeight="1" x14ac:dyDescent="0.3">
      <c r="B70" s="2"/>
      <c r="E70" s="101"/>
      <c r="F70" s="398"/>
      <c r="G70" s="101"/>
      <c r="H70" s="101"/>
      <c r="I70" s="355"/>
      <c r="J70" s="355"/>
      <c r="K70" s="355"/>
      <c r="L70" s="355"/>
      <c r="M70" s="355"/>
      <c r="N70" s="355"/>
      <c r="O70" s="355"/>
      <c r="P70" s="355"/>
      <c r="Q70" s="355"/>
      <c r="R70" s="355"/>
      <c r="S70" s="355"/>
      <c r="T70" s="355"/>
      <c r="U70" s="355"/>
      <c r="V70" s="355"/>
      <c r="W70" s="355"/>
      <c r="X70" s="355"/>
      <c r="Y70" s="355"/>
      <c r="Z70" s="355"/>
      <c r="AA70" s="355"/>
      <c r="AB70" s="355"/>
      <c r="AC70" s="355"/>
      <c r="AD70" s="355"/>
      <c r="AE70" s="355"/>
      <c r="AF70" s="355"/>
      <c r="AG70" s="355"/>
      <c r="AH70" s="355"/>
      <c r="AI70" s="355"/>
      <c r="AJ70" s="355"/>
      <c r="AK70" s="355"/>
      <c r="AL70" s="101"/>
    </row>
    <row r="71" spans="2:42" s="1" customFormat="1" ht="21" customHeight="1" x14ac:dyDescent="0.3">
      <c r="B71" s="2"/>
      <c r="C71" s="400"/>
      <c r="F71" s="397" t="s">
        <v>1175</v>
      </c>
      <c r="J71" s="5"/>
      <c r="K71" s="3"/>
      <c r="S71" s="399" t="s">
        <v>1179</v>
      </c>
      <c r="T71" s="490"/>
      <c r="U71" s="490"/>
      <c r="V71" s="490"/>
      <c r="W71" s="490"/>
      <c r="X71" s="490"/>
      <c r="Y71" s="490"/>
      <c r="Z71" s="490"/>
      <c r="AA71" s="490"/>
      <c r="AB71" s="490"/>
      <c r="AC71" s="490"/>
      <c r="AE71" s="397"/>
      <c r="AF71" s="399" t="s">
        <v>1176</v>
      </c>
      <c r="AG71" s="489"/>
      <c r="AH71" s="489"/>
      <c r="AI71" s="396"/>
      <c r="AJ71" s="396"/>
      <c r="AK71" s="396"/>
      <c r="AL71" s="396"/>
    </row>
    <row r="72" spans="2:42" s="1" customFormat="1" ht="14.25" customHeight="1" x14ac:dyDescent="0.3">
      <c r="B72" s="2"/>
      <c r="E72" s="101"/>
      <c r="F72" s="398"/>
      <c r="G72" s="101"/>
      <c r="H72" s="101"/>
      <c r="I72" s="355"/>
      <c r="J72" s="355"/>
      <c r="K72" s="355"/>
      <c r="L72" s="355"/>
      <c r="M72" s="355"/>
      <c r="N72" s="355"/>
      <c r="O72" s="355"/>
      <c r="P72" s="355"/>
      <c r="Q72" s="355"/>
      <c r="R72" s="355"/>
      <c r="S72" s="355"/>
      <c r="T72" s="355"/>
      <c r="U72" s="355"/>
      <c r="V72" s="355"/>
      <c r="W72" s="355"/>
      <c r="X72" s="355"/>
      <c r="Y72" s="355"/>
      <c r="Z72" s="355"/>
      <c r="AA72" s="355"/>
      <c r="AB72" s="355"/>
      <c r="AC72" s="355"/>
      <c r="AD72" s="355"/>
      <c r="AE72" s="355"/>
      <c r="AF72" s="355"/>
      <c r="AG72" s="355"/>
      <c r="AH72" s="355"/>
      <c r="AI72" s="355"/>
      <c r="AJ72" s="355"/>
      <c r="AK72" s="355"/>
      <c r="AL72" s="101"/>
    </row>
    <row r="73" spans="2:42" s="1" customFormat="1" ht="21" customHeight="1" x14ac:dyDescent="0.3">
      <c r="B73" s="2"/>
      <c r="C73" s="400"/>
      <c r="F73" s="397" t="s">
        <v>1178</v>
      </c>
      <c r="J73" s="5"/>
      <c r="K73" s="3"/>
      <c r="S73" s="396"/>
      <c r="T73" s="396"/>
      <c r="U73" s="396"/>
      <c r="V73" s="396"/>
      <c r="W73" s="396"/>
      <c r="X73" s="396" t="s">
        <v>1177</v>
      </c>
      <c r="Y73" s="396"/>
      <c r="Z73" s="489"/>
      <c r="AA73" s="489"/>
      <c r="AB73" s="489"/>
      <c r="AC73" s="489"/>
      <c r="AD73" s="396"/>
      <c r="AE73" s="396"/>
      <c r="AF73" s="399" t="s">
        <v>1176</v>
      </c>
      <c r="AG73" s="489"/>
      <c r="AH73" s="489"/>
      <c r="AI73" s="396"/>
      <c r="AJ73" s="396"/>
      <c r="AK73" s="396"/>
      <c r="AL73" s="396"/>
    </row>
    <row r="74" spans="2:42" s="1" customFormat="1" ht="14.25" customHeight="1" x14ac:dyDescent="0.3">
      <c r="B74" s="2"/>
      <c r="E74" s="101"/>
      <c r="F74" s="398"/>
      <c r="G74" s="101"/>
      <c r="H74" s="101"/>
      <c r="I74" s="355"/>
      <c r="J74" s="355"/>
      <c r="K74" s="355"/>
      <c r="L74" s="355"/>
      <c r="M74" s="355"/>
      <c r="N74" s="355"/>
      <c r="O74" s="355"/>
      <c r="P74" s="355"/>
      <c r="Q74" s="355"/>
      <c r="R74" s="355"/>
      <c r="S74" s="355"/>
      <c r="T74" s="355"/>
      <c r="U74" s="355"/>
      <c r="V74" s="355"/>
      <c r="W74" s="355"/>
      <c r="X74" s="355"/>
      <c r="Y74" s="355"/>
      <c r="Z74" s="355"/>
      <c r="AA74" s="355"/>
      <c r="AB74" s="355"/>
      <c r="AC74" s="355"/>
      <c r="AD74" s="355"/>
      <c r="AE74" s="355"/>
      <c r="AF74" s="355"/>
      <c r="AG74" s="355"/>
      <c r="AH74" s="355"/>
      <c r="AI74" s="355"/>
      <c r="AJ74" s="355"/>
      <c r="AK74" s="355"/>
      <c r="AL74" s="101"/>
    </row>
    <row r="75" spans="2:42" s="1" customFormat="1" ht="21" customHeight="1" x14ac:dyDescent="0.3">
      <c r="B75" s="2"/>
      <c r="C75" s="400"/>
      <c r="F75" s="397" t="s">
        <v>1182</v>
      </c>
      <c r="J75" s="5"/>
      <c r="K75" s="3"/>
      <c r="S75" s="396"/>
      <c r="T75" s="396"/>
      <c r="U75" s="396"/>
      <c r="V75" s="396"/>
      <c r="W75" s="396"/>
      <c r="X75" s="396"/>
      <c r="Y75" s="396"/>
      <c r="Z75" s="396"/>
      <c r="AA75" s="396"/>
      <c r="AB75" s="396"/>
      <c r="AC75" s="396"/>
      <c r="AD75" s="396"/>
      <c r="AE75" s="396"/>
      <c r="AF75" s="396"/>
      <c r="AG75" s="396"/>
      <c r="AH75" s="396"/>
      <c r="AI75" s="396"/>
      <c r="AJ75" s="396"/>
      <c r="AK75" s="396"/>
      <c r="AL75" s="396"/>
    </row>
    <row r="76" spans="2:42" s="1" customFormat="1" ht="14.4" customHeight="1" x14ac:dyDescent="0.35">
      <c r="B76" s="2"/>
      <c r="J76" s="5"/>
      <c r="K76" s="3"/>
      <c r="S76" s="5"/>
      <c r="T76" s="3"/>
      <c r="V76" s="7"/>
      <c r="W76" s="8"/>
      <c r="X76" s="8"/>
      <c r="Y76" s="8"/>
      <c r="Z76" s="8"/>
      <c r="AA76" s="8"/>
      <c r="AB76" s="8"/>
      <c r="AC76" s="8"/>
      <c r="AD76" s="8"/>
      <c r="AE76" s="8"/>
      <c r="AF76" s="8"/>
      <c r="AG76" s="8"/>
      <c r="AH76" s="8"/>
      <c r="AL76" s="4"/>
    </row>
    <row r="77" spans="2:42" s="1" customFormat="1" ht="19.95" customHeight="1" x14ac:dyDescent="0.3">
      <c r="B77" s="492" t="s">
        <v>343</v>
      </c>
      <c r="C77" s="492"/>
      <c r="D77" s="492"/>
      <c r="E77" s="492"/>
      <c r="F77" s="492"/>
      <c r="G77" s="492"/>
      <c r="H77" s="492"/>
      <c r="I77" s="492"/>
      <c r="J77" s="492"/>
      <c r="K77" s="492"/>
      <c r="L77" s="492"/>
      <c r="M77" s="492"/>
      <c r="N77" s="492"/>
      <c r="O77" s="492"/>
      <c r="P77" s="492"/>
      <c r="Q77" s="492"/>
      <c r="R77" s="492"/>
      <c r="S77" s="492"/>
      <c r="T77" s="492"/>
      <c r="U77" s="492"/>
      <c r="V77" s="492"/>
      <c r="W77" s="492"/>
      <c r="X77" s="492"/>
      <c r="Y77" s="492"/>
      <c r="Z77" s="492"/>
      <c r="AA77" s="492"/>
      <c r="AB77" s="492"/>
      <c r="AC77" s="492"/>
      <c r="AD77" s="492"/>
      <c r="AE77" s="492"/>
      <c r="AF77" s="492"/>
      <c r="AG77" s="492"/>
      <c r="AH77" s="492"/>
      <c r="AI77" s="492"/>
      <c r="AJ77" s="492"/>
      <c r="AK77" s="492"/>
      <c r="AL77" s="492"/>
      <c r="AM77" s="9"/>
      <c r="AN77" s="9"/>
      <c r="AO77" s="9"/>
      <c r="AP77" s="9"/>
    </row>
    <row r="78" spans="2:42" s="1" customFormat="1" ht="19.95" customHeight="1" x14ac:dyDescent="0.25">
      <c r="B78" s="492"/>
      <c r="C78" s="492"/>
      <c r="D78" s="492"/>
      <c r="E78" s="492"/>
      <c r="F78" s="492"/>
      <c r="G78" s="492"/>
      <c r="H78" s="492"/>
      <c r="I78" s="492"/>
      <c r="J78" s="492"/>
      <c r="K78" s="492"/>
      <c r="L78" s="492"/>
      <c r="M78" s="492"/>
      <c r="N78" s="492"/>
      <c r="O78" s="492"/>
      <c r="P78" s="492"/>
      <c r="Q78" s="492"/>
      <c r="R78" s="492"/>
      <c r="S78" s="492"/>
      <c r="T78" s="492"/>
      <c r="U78" s="492"/>
      <c r="V78" s="492"/>
      <c r="W78" s="492"/>
      <c r="X78" s="492"/>
      <c r="Y78" s="492"/>
      <c r="Z78" s="492"/>
      <c r="AA78" s="492"/>
      <c r="AB78" s="492"/>
      <c r="AC78" s="492"/>
      <c r="AD78" s="492"/>
      <c r="AE78" s="492"/>
      <c r="AF78" s="492"/>
      <c r="AG78" s="492"/>
      <c r="AH78" s="492"/>
      <c r="AI78" s="492"/>
      <c r="AJ78" s="492"/>
      <c r="AK78" s="492"/>
      <c r="AL78" s="492"/>
    </row>
    <row r="79" spans="2:42" s="1" customFormat="1" ht="14.4" customHeight="1" x14ac:dyDescent="0.25">
      <c r="B79" s="492"/>
      <c r="C79" s="492"/>
      <c r="D79" s="492"/>
      <c r="E79" s="492"/>
      <c r="F79" s="492"/>
      <c r="G79" s="492"/>
      <c r="H79" s="492"/>
      <c r="I79" s="492"/>
      <c r="J79" s="492"/>
      <c r="K79" s="492"/>
      <c r="L79" s="492"/>
      <c r="M79" s="492"/>
      <c r="N79" s="492"/>
      <c r="O79" s="492"/>
      <c r="P79" s="492"/>
      <c r="Q79" s="492"/>
      <c r="R79" s="492"/>
      <c r="S79" s="492"/>
      <c r="T79" s="492"/>
      <c r="U79" s="492"/>
      <c r="V79" s="492"/>
      <c r="W79" s="492"/>
      <c r="X79" s="492"/>
      <c r="Y79" s="492"/>
      <c r="Z79" s="492"/>
      <c r="AA79" s="492"/>
      <c r="AB79" s="492"/>
      <c r="AC79" s="492"/>
      <c r="AD79" s="492"/>
      <c r="AE79" s="492"/>
      <c r="AF79" s="492"/>
      <c r="AG79" s="492"/>
      <c r="AH79" s="492"/>
      <c r="AI79" s="492"/>
      <c r="AJ79" s="492"/>
      <c r="AK79" s="492"/>
      <c r="AL79" s="492"/>
    </row>
    <row r="80" spans="2:42" s="1" customFormat="1" ht="14.4" customHeight="1" x14ac:dyDescent="0.35">
      <c r="B80" s="9" t="s">
        <v>344</v>
      </c>
      <c r="J80" s="5"/>
      <c r="K80" s="3"/>
      <c r="S80" s="5"/>
      <c r="T80" s="3"/>
      <c r="V80" s="7"/>
      <c r="W80" s="8"/>
      <c r="X80" s="8"/>
      <c r="Y80" s="8"/>
      <c r="Z80" s="8"/>
      <c r="AA80" s="8"/>
      <c r="AB80" s="8"/>
      <c r="AC80" s="8"/>
      <c r="AD80" s="8"/>
      <c r="AE80" s="8"/>
      <c r="AF80" s="8"/>
      <c r="AG80" s="8"/>
      <c r="AH80" s="8"/>
      <c r="AL80" s="4"/>
    </row>
    <row r="81" spans="1:39" s="1" customFormat="1" ht="14.4" customHeight="1" x14ac:dyDescent="0.35">
      <c r="B81" s="2"/>
      <c r="J81" s="5"/>
      <c r="K81" s="3"/>
      <c r="S81" s="5"/>
      <c r="T81" s="3"/>
      <c r="V81" s="7"/>
      <c r="W81" s="8"/>
      <c r="X81" s="8"/>
      <c r="Y81" s="8"/>
      <c r="Z81" s="8"/>
      <c r="AA81" s="8"/>
      <c r="AB81" s="8"/>
      <c r="AC81" s="8"/>
      <c r="AD81" s="8"/>
      <c r="AE81" s="8"/>
      <c r="AF81" s="8"/>
      <c r="AG81" s="8"/>
      <c r="AH81" s="8"/>
      <c r="AL81" s="4"/>
    </row>
    <row r="82" spans="1:39" s="1" customFormat="1" ht="19.95" customHeight="1" x14ac:dyDescent="0.25">
      <c r="B82" s="153" t="s">
        <v>846</v>
      </c>
      <c r="F82" s="284" t="s">
        <v>847</v>
      </c>
      <c r="G82" s="498"/>
      <c r="H82" s="498"/>
      <c r="I82" s="498"/>
      <c r="J82" s="498"/>
      <c r="K82" s="498"/>
      <c r="L82" s="498"/>
      <c r="M82" s="498"/>
      <c r="N82" s="498"/>
      <c r="O82" s="498"/>
      <c r="P82" s="498"/>
      <c r="Q82" s="498"/>
      <c r="R82" s="498"/>
      <c r="S82" s="25" t="s">
        <v>476</v>
      </c>
      <c r="T82" s="498"/>
      <c r="U82" s="498"/>
      <c r="V82" s="8"/>
      <c r="W82" s="11" t="s">
        <v>849</v>
      </c>
      <c r="X82" s="8"/>
      <c r="Y82" s="8"/>
      <c r="Z82" s="521"/>
      <c r="AA82" s="521"/>
      <c r="AB82" s="521"/>
      <c r="AC82" s="521"/>
      <c r="AD82" s="521"/>
      <c r="AE82" s="521"/>
      <c r="AF82" s="521"/>
      <c r="AG82" s="521"/>
      <c r="AH82" s="521"/>
      <c r="AI82" s="521"/>
      <c r="AJ82" s="521"/>
      <c r="AK82" s="521"/>
      <c r="AL82" s="521"/>
    </row>
    <row r="83" spans="1:39" s="1" customFormat="1" ht="19.95" customHeight="1" x14ac:dyDescent="0.25">
      <c r="B83" s="153"/>
      <c r="F83" s="284"/>
      <c r="G83" s="25"/>
      <c r="H83" s="25"/>
      <c r="I83" s="25"/>
      <c r="J83" s="25"/>
      <c r="K83" s="25"/>
      <c r="L83" s="25"/>
      <c r="M83" s="25"/>
      <c r="N83" s="25"/>
      <c r="O83" s="25"/>
      <c r="P83" s="25"/>
      <c r="Q83" s="25"/>
      <c r="R83" s="25"/>
      <c r="S83" s="25"/>
      <c r="T83" s="25"/>
      <c r="U83" s="25"/>
      <c r="V83" s="8"/>
      <c r="W83" s="11"/>
      <c r="X83" s="8"/>
      <c r="Y83" s="8"/>
      <c r="Z83" s="8"/>
      <c r="AA83" s="8"/>
      <c r="AB83" s="8"/>
      <c r="AC83" s="8"/>
      <c r="AD83" s="8"/>
      <c r="AE83" s="8"/>
      <c r="AF83" s="8"/>
      <c r="AG83" s="8"/>
      <c r="AH83" s="8"/>
      <c r="AI83" s="8"/>
      <c r="AJ83" s="8"/>
      <c r="AK83" s="8"/>
      <c r="AL83" s="8"/>
    </row>
    <row r="84" spans="1:39" s="1" customFormat="1" ht="19.95" customHeight="1" x14ac:dyDescent="0.25">
      <c r="B84" s="153"/>
      <c r="F84" s="284" t="s">
        <v>850</v>
      </c>
      <c r="G84" s="498"/>
      <c r="H84" s="498"/>
      <c r="I84" s="498"/>
      <c r="J84" s="498"/>
      <c r="K84" s="498"/>
      <c r="L84" s="498"/>
      <c r="M84" s="498"/>
      <c r="N84" s="498"/>
      <c r="O84" s="498"/>
      <c r="P84" s="498"/>
      <c r="Q84" s="498"/>
      <c r="R84" s="498"/>
      <c r="S84" s="25" t="s">
        <v>476</v>
      </c>
      <c r="T84" s="498"/>
      <c r="U84" s="498"/>
      <c r="V84" s="8"/>
      <c r="W84" s="11" t="s">
        <v>849</v>
      </c>
      <c r="X84" s="8"/>
      <c r="Y84" s="8"/>
      <c r="Z84" s="521"/>
      <c r="AA84" s="521"/>
      <c r="AB84" s="521"/>
      <c r="AC84" s="521"/>
      <c r="AD84" s="521"/>
      <c r="AE84" s="521"/>
      <c r="AF84" s="521"/>
      <c r="AG84" s="521"/>
      <c r="AH84" s="521"/>
      <c r="AI84" s="521"/>
      <c r="AJ84" s="521"/>
      <c r="AK84" s="521"/>
      <c r="AL84" s="521"/>
    </row>
    <row r="85" spans="1:39" s="1" customFormat="1" ht="14.4" customHeight="1" x14ac:dyDescent="0.35">
      <c r="B85" s="2"/>
      <c r="J85" s="5"/>
      <c r="K85" s="3"/>
      <c r="S85" s="5"/>
      <c r="T85" s="3"/>
      <c r="V85" s="7"/>
      <c r="W85" s="8"/>
      <c r="X85" s="8"/>
      <c r="Y85" s="8"/>
      <c r="Z85" s="8"/>
      <c r="AA85" s="8"/>
      <c r="AB85" s="8"/>
      <c r="AC85" s="8"/>
      <c r="AD85" s="8"/>
      <c r="AE85" s="8"/>
      <c r="AF85" s="8"/>
      <c r="AG85" s="8"/>
      <c r="AH85" s="8"/>
      <c r="AL85" s="4"/>
    </row>
    <row r="86" spans="1:39" s="1" customFormat="1" ht="17.399999999999999" x14ac:dyDescent="0.3">
      <c r="A86" s="3"/>
      <c r="B86" s="2" t="s">
        <v>848</v>
      </c>
      <c r="C86" s="3"/>
      <c r="D86" s="3"/>
      <c r="E86" s="103"/>
      <c r="G86" s="497"/>
      <c r="H86" s="497"/>
      <c r="I86" s="497"/>
      <c r="J86" s="497"/>
      <c r="K86" s="497"/>
      <c r="L86" s="497"/>
      <c r="M86" s="103"/>
      <c r="N86" s="251" t="s">
        <v>2</v>
      </c>
      <c r="O86" s="494"/>
      <c r="P86" s="494"/>
      <c r="Q86" s="494"/>
      <c r="R86" s="494"/>
      <c r="S86" s="494"/>
      <c r="T86" s="494"/>
      <c r="U86" s="494"/>
      <c r="V86" s="103"/>
      <c r="W86" s="103"/>
      <c r="X86" s="99"/>
      <c r="Y86" s="251" t="s">
        <v>3</v>
      </c>
      <c r="Z86" s="247"/>
      <c r="AB86" s="256"/>
      <c r="AC86" s="251" t="s">
        <v>4</v>
      </c>
      <c r="AD86" s="494"/>
      <c r="AE86" s="494"/>
      <c r="AF86" s="494"/>
      <c r="AG86" s="494"/>
      <c r="AH86" s="494"/>
      <c r="AI86" s="494"/>
      <c r="AJ86" s="494"/>
      <c r="AK86" s="494"/>
      <c r="AL86" s="494"/>
      <c r="AM86" s="3"/>
    </row>
    <row r="87" spans="1:39" s="1" customFormat="1" ht="14.4" customHeight="1" x14ac:dyDescent="0.3">
      <c r="B87" s="2"/>
      <c r="F87" s="99"/>
      <c r="G87" s="99"/>
      <c r="H87" s="99"/>
      <c r="I87" s="99"/>
      <c r="J87" s="103"/>
      <c r="K87" s="99"/>
      <c r="L87" s="99"/>
      <c r="M87" s="99"/>
      <c r="N87" s="99"/>
      <c r="O87" s="99"/>
      <c r="P87" s="99"/>
      <c r="Q87" s="99"/>
      <c r="R87" s="99"/>
      <c r="S87" s="99"/>
      <c r="T87" s="103"/>
      <c r="U87" s="99"/>
      <c r="V87" s="99"/>
      <c r="W87" s="99"/>
      <c r="X87" s="99"/>
      <c r="Y87" s="99"/>
      <c r="Z87" s="99"/>
      <c r="AA87" s="99"/>
      <c r="AB87" s="99"/>
      <c r="AC87" s="99"/>
      <c r="AD87" s="99"/>
      <c r="AE87" s="99"/>
      <c r="AF87" s="99"/>
      <c r="AG87" s="99"/>
      <c r="AH87" s="99"/>
      <c r="AI87" s="99"/>
      <c r="AJ87" s="99"/>
      <c r="AK87" s="99"/>
      <c r="AL87" s="4"/>
    </row>
    <row r="88" spans="1:39" s="1" customFormat="1" ht="14.4" customHeight="1" x14ac:dyDescent="0.3">
      <c r="B88" s="2"/>
      <c r="E88" s="251" t="s">
        <v>13</v>
      </c>
      <c r="G88" s="523"/>
      <c r="H88" s="524"/>
      <c r="I88" s="524"/>
      <c r="J88" s="524"/>
      <c r="K88" s="524"/>
      <c r="L88" s="524"/>
      <c r="M88" s="524"/>
      <c r="N88" s="524"/>
      <c r="O88" s="524"/>
      <c r="P88" s="524"/>
      <c r="Q88" s="524"/>
      <c r="R88" s="524"/>
      <c r="S88" s="524"/>
      <c r="T88" s="524"/>
      <c r="U88" s="524"/>
      <c r="V88"/>
      <c r="W88"/>
      <c r="X88"/>
      <c r="Y88"/>
      <c r="Z88"/>
      <c r="AA88" s="103"/>
      <c r="AB88" s="104"/>
      <c r="AC88" s="99"/>
      <c r="AD88" s="99"/>
      <c r="AE88" s="99"/>
      <c r="AF88" s="99"/>
      <c r="AG88" s="99"/>
      <c r="AH88" s="99"/>
      <c r="AI88" s="99"/>
      <c r="AJ88" s="99"/>
      <c r="AK88" s="99"/>
      <c r="AL88" s="99"/>
    </row>
    <row r="89" spans="1:39" s="1" customFormat="1" ht="14.4" customHeight="1" x14ac:dyDescent="0.3">
      <c r="B89" s="2"/>
      <c r="F89" s="99"/>
      <c r="G89" s="99"/>
      <c r="H89" s="105"/>
      <c r="I89" s="105"/>
      <c r="J89" s="106"/>
      <c r="K89" s="105"/>
      <c r="L89" s="105"/>
      <c r="M89" s="105"/>
      <c r="N89" s="105"/>
      <c r="O89" s="105"/>
      <c r="P89" s="105"/>
      <c r="Q89" s="99"/>
      <c r="R89" s="99"/>
      <c r="S89" s="99"/>
      <c r="T89" s="105"/>
      <c r="U89" s="105"/>
      <c r="V89" s="99"/>
      <c r="W89" s="99"/>
      <c r="X89" s="99"/>
      <c r="Y89" s="99"/>
      <c r="Z89" s="103"/>
      <c r="AA89" s="103"/>
      <c r="AB89" s="103"/>
      <c r="AC89" s="103"/>
      <c r="AD89" s="103"/>
      <c r="AE89" s="103"/>
      <c r="AF89" s="103"/>
      <c r="AG89" s="103"/>
      <c r="AH89" s="103"/>
      <c r="AI89" s="99"/>
      <c r="AJ89" s="99"/>
      <c r="AK89" s="99"/>
      <c r="AL89" s="4"/>
    </row>
    <row r="90" spans="1:39" s="1" customFormat="1" ht="14.4" customHeight="1" x14ac:dyDescent="0.3">
      <c r="B90" s="2" t="s">
        <v>161</v>
      </c>
      <c r="H90" s="249"/>
      <c r="I90" s="249"/>
      <c r="J90" s="250"/>
      <c r="K90" s="249"/>
      <c r="L90" s="249"/>
      <c r="M90" s="249"/>
      <c r="N90" s="249"/>
      <c r="O90" s="249"/>
      <c r="P90" s="249"/>
      <c r="Q90" s="99"/>
      <c r="R90" s="99"/>
      <c r="S90" s="99"/>
      <c r="T90" s="105"/>
      <c r="U90" s="105"/>
      <c r="V90" s="99"/>
      <c r="W90" s="99"/>
      <c r="X90" s="495"/>
      <c r="Y90" s="495"/>
      <c r="Z90" s="495"/>
      <c r="AA90" s="495"/>
      <c r="AB90" s="495"/>
      <c r="AC90" s="495"/>
      <c r="AD90" s="495"/>
      <c r="AE90" s="495"/>
      <c r="AF90" s="495"/>
      <c r="AG90" s="495"/>
      <c r="AH90" s="495"/>
      <c r="AI90" s="495"/>
      <c r="AJ90" s="495"/>
      <c r="AK90" s="495"/>
      <c r="AL90" s="495"/>
    </row>
    <row r="91" spans="1:39" s="1" customFormat="1" ht="14.4" customHeight="1" x14ac:dyDescent="0.3">
      <c r="B91" s="2"/>
      <c r="H91" s="249"/>
      <c r="I91" s="249"/>
      <c r="J91" s="250"/>
      <c r="K91" s="249"/>
      <c r="L91" s="249"/>
      <c r="M91" s="249"/>
      <c r="N91" s="249"/>
      <c r="O91" s="249"/>
      <c r="P91" s="249"/>
      <c r="Q91" s="99"/>
      <c r="R91" s="99"/>
      <c r="S91" s="99"/>
      <c r="T91" s="105"/>
      <c r="U91" s="105"/>
      <c r="V91" s="99"/>
      <c r="W91" s="99"/>
      <c r="X91" s="99"/>
      <c r="Y91" s="99"/>
      <c r="Z91" s="103"/>
      <c r="AA91" s="103"/>
      <c r="AB91" s="103"/>
      <c r="AC91" s="103"/>
      <c r="AD91" s="103"/>
      <c r="AE91" s="103"/>
      <c r="AF91" s="103"/>
      <c r="AG91" s="103"/>
      <c r="AH91" s="103"/>
      <c r="AI91" s="99"/>
      <c r="AJ91" s="99"/>
      <c r="AK91" s="99"/>
      <c r="AL91" s="4"/>
    </row>
    <row r="92" spans="1:39" s="1" customFormat="1" ht="14.4" customHeight="1" x14ac:dyDescent="0.3">
      <c r="B92" s="2"/>
      <c r="C92" s="11" t="s">
        <v>303</v>
      </c>
      <c r="K92" s="3"/>
      <c r="L92" s="3"/>
      <c r="M92" s="3"/>
      <c r="N92" s="3"/>
      <c r="O92" s="3"/>
      <c r="P92" s="3"/>
      <c r="Q92" s="103"/>
      <c r="R92" s="103"/>
      <c r="S92" s="99"/>
      <c r="T92" s="105"/>
      <c r="U92" s="105"/>
      <c r="V92" s="99"/>
      <c r="W92" s="99"/>
      <c r="X92" s="99"/>
      <c r="Y92" s="99"/>
      <c r="Z92" s="107"/>
      <c r="AA92" s="103"/>
      <c r="AB92" s="103"/>
      <c r="AC92" s="103"/>
      <c r="AD92" s="103"/>
      <c r="AE92" s="103"/>
      <c r="AF92" s="103"/>
      <c r="AG92" s="103"/>
      <c r="AH92" s="103"/>
      <c r="AI92" s="99"/>
      <c r="AJ92" s="99"/>
      <c r="AK92" s="99"/>
      <c r="AL92" s="4"/>
    </row>
    <row r="93" spans="1:39" s="1" customFormat="1" ht="20.25" customHeight="1" thickBot="1" x14ac:dyDescent="0.3"/>
    <row r="94" spans="1:39" s="15" customFormat="1" ht="20.25" customHeight="1" thickBot="1" x14ac:dyDescent="0.3">
      <c r="A94" s="500" t="s">
        <v>475</v>
      </c>
      <c r="B94" s="501"/>
      <c r="C94" s="501"/>
      <c r="D94" s="501"/>
      <c r="E94" s="501"/>
      <c r="F94" s="501"/>
      <c r="G94" s="501"/>
      <c r="H94" s="501"/>
      <c r="I94" s="501"/>
      <c r="J94" s="501"/>
      <c r="K94" s="501"/>
      <c r="L94" s="501"/>
      <c r="M94" s="501"/>
      <c r="N94" s="501"/>
      <c r="O94" s="501"/>
      <c r="P94" s="501"/>
      <c r="Q94" s="501"/>
      <c r="R94" s="501"/>
      <c r="S94" s="501"/>
      <c r="T94" s="501"/>
      <c r="U94" s="501"/>
      <c r="V94" s="501"/>
      <c r="W94" s="501"/>
      <c r="X94" s="501"/>
      <c r="Y94" s="501"/>
      <c r="Z94" s="501"/>
      <c r="AA94" s="501"/>
      <c r="AB94" s="501"/>
      <c r="AC94" s="501"/>
      <c r="AD94" s="501"/>
      <c r="AE94" s="501"/>
      <c r="AF94" s="501"/>
      <c r="AG94" s="501"/>
      <c r="AH94" s="501"/>
      <c r="AI94" s="501"/>
      <c r="AJ94" s="501"/>
      <c r="AK94" s="501"/>
      <c r="AL94" s="501"/>
      <c r="AM94" s="502"/>
    </row>
    <row r="95" spans="1:39" s="15" customFormat="1" ht="20.25" customHeight="1" x14ac:dyDescent="0.25">
      <c r="Y95" s="16"/>
    </row>
    <row r="96" spans="1:39" s="99" customFormat="1" ht="14.4" customHeight="1" x14ac:dyDescent="0.3">
      <c r="A96" s="496" t="s">
        <v>1169</v>
      </c>
      <c r="B96" s="496"/>
      <c r="C96" s="496"/>
      <c r="D96" s="496"/>
      <c r="E96" s="496"/>
      <c r="F96" s="496"/>
      <c r="G96" s="496"/>
      <c r="H96" s="496"/>
      <c r="I96" s="496"/>
      <c r="J96" s="496"/>
      <c r="K96" s="496"/>
      <c r="L96" s="496"/>
      <c r="M96" s="496"/>
      <c r="N96" s="496"/>
      <c r="O96" s="496"/>
      <c r="P96" s="496"/>
      <c r="Q96" s="496"/>
      <c r="R96" s="496"/>
      <c r="S96" s="496"/>
      <c r="T96" s="496"/>
      <c r="U96" s="496"/>
      <c r="V96" s="496"/>
      <c r="W96" s="496"/>
      <c r="X96" s="496"/>
      <c r="Y96" s="496"/>
      <c r="Z96" s="496"/>
      <c r="AA96" s="496"/>
      <c r="AB96" s="496"/>
      <c r="AC96" s="496"/>
      <c r="AD96" s="496"/>
      <c r="AE96" s="496"/>
      <c r="AF96" s="496"/>
      <c r="AG96" s="496"/>
      <c r="AH96" s="496"/>
      <c r="AI96" s="496"/>
      <c r="AJ96" s="496"/>
      <c r="AK96" s="496"/>
      <c r="AL96" s="496"/>
      <c r="AM96" s="496"/>
    </row>
    <row r="97" spans="1:39" s="99" customFormat="1" ht="14.4" customHeight="1" x14ac:dyDescent="0.25">
      <c r="A97" s="513"/>
      <c r="B97" s="513"/>
      <c r="C97" s="513"/>
      <c r="D97" s="513"/>
      <c r="E97" s="513"/>
      <c r="F97" s="513"/>
      <c r="G97" s="513"/>
      <c r="H97" s="513"/>
      <c r="I97" s="513"/>
      <c r="J97" s="513"/>
      <c r="K97" s="513"/>
      <c r="L97" s="513"/>
      <c r="M97" s="513"/>
      <c r="N97" s="513"/>
      <c r="O97" s="513"/>
      <c r="P97" s="513"/>
      <c r="Q97" s="513"/>
      <c r="R97" s="513"/>
      <c r="S97" s="513"/>
      <c r="T97" s="513"/>
      <c r="U97" s="513"/>
      <c r="V97" s="513"/>
      <c r="W97" s="513"/>
      <c r="X97" s="513"/>
      <c r="Y97" s="513"/>
      <c r="Z97" s="513"/>
      <c r="AA97" s="513"/>
      <c r="AB97" s="513"/>
      <c r="AC97" s="513"/>
      <c r="AD97" s="513"/>
      <c r="AE97" s="513"/>
      <c r="AF97" s="513"/>
      <c r="AG97" s="513"/>
      <c r="AH97" s="513"/>
      <c r="AI97" s="513"/>
      <c r="AJ97" s="513"/>
      <c r="AK97" s="513"/>
      <c r="AL97" s="513"/>
      <c r="AM97" s="513"/>
    </row>
    <row r="98" spans="1:39" s="99" customFormat="1" ht="14.4" customHeight="1" x14ac:dyDescent="0.3">
      <c r="A98" s="3"/>
      <c r="B98" s="3" t="s">
        <v>1168</v>
      </c>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row>
    <row r="99" spans="1:39" s="99" customFormat="1" ht="14.4" customHeight="1" x14ac:dyDescent="0.3">
      <c r="A99" s="3"/>
      <c r="B99" s="3" t="s">
        <v>243</v>
      </c>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row>
    <row r="100" spans="1:39" s="99" customFormat="1" ht="14.4" customHeight="1" x14ac:dyDescent="0.3">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row>
    <row r="101" spans="1:39" s="99" customFormat="1" ht="17.399999999999999" x14ac:dyDescent="0.3">
      <c r="A101" s="3"/>
      <c r="B101" s="153" t="s">
        <v>332</v>
      </c>
      <c r="C101" s="3"/>
      <c r="D101" s="3"/>
      <c r="E101" s="3"/>
      <c r="F101" s="3"/>
      <c r="G101" s="3"/>
      <c r="H101" s="3"/>
      <c r="I101" s="3"/>
      <c r="J101" s="3"/>
      <c r="K101" s="3"/>
      <c r="L101" s="1"/>
      <c r="M101" s="3"/>
      <c r="N101" s="3"/>
      <c r="O101" s="3"/>
      <c r="P101" s="3"/>
      <c r="Q101" s="3"/>
      <c r="R101" s="3"/>
      <c r="S101" s="3"/>
      <c r="T101" s="3"/>
      <c r="U101" s="3"/>
      <c r="V101" s="3"/>
      <c r="W101" s="3"/>
      <c r="X101" s="3"/>
      <c r="Y101" s="1"/>
      <c r="Z101" s="3"/>
      <c r="AA101" s="3"/>
      <c r="AB101" s="3"/>
      <c r="AC101" s="3"/>
      <c r="AD101" s="3"/>
      <c r="AE101" s="3"/>
      <c r="AF101" s="3"/>
      <c r="AG101" s="3"/>
      <c r="AH101" s="3"/>
      <c r="AI101" s="3"/>
      <c r="AJ101" s="3"/>
      <c r="AK101" s="3"/>
      <c r="AL101" s="3"/>
      <c r="AM101" s="3"/>
    </row>
    <row r="102" spans="1:39" s="99" customFormat="1" ht="14.4" customHeight="1" x14ac:dyDescent="0.3">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row>
    <row r="103" spans="1:39" s="99" customFormat="1" ht="14.4" customHeight="1" x14ac:dyDescent="0.3">
      <c r="A103" s="3"/>
      <c r="B103" s="2" t="s">
        <v>333</v>
      </c>
      <c r="C103" s="3"/>
      <c r="D103" s="3"/>
      <c r="E103" s="3"/>
      <c r="F103" s="3"/>
      <c r="G103" s="3"/>
      <c r="H103" s="3"/>
      <c r="I103" s="3"/>
      <c r="J103" s="3"/>
      <c r="K103" s="3"/>
      <c r="L103" s="3"/>
      <c r="M103" s="3"/>
      <c r="N103" s="3"/>
      <c r="O103" s="3"/>
      <c r="P103" s="3"/>
      <c r="Q103" s="3"/>
      <c r="R103" s="3"/>
      <c r="S103" s="3"/>
      <c r="T103" s="3"/>
      <c r="U103" s="3"/>
      <c r="V103" s="3"/>
      <c r="W103" s="1"/>
      <c r="X103" s="3"/>
      <c r="Y103" s="1"/>
      <c r="Z103" s="3"/>
      <c r="AA103" s="3"/>
      <c r="AB103" s="3"/>
      <c r="AC103" s="3"/>
      <c r="AD103" s="3"/>
      <c r="AE103" s="3"/>
      <c r="AF103" s="3"/>
      <c r="AG103" s="3"/>
      <c r="AH103" s="3"/>
      <c r="AI103" s="3"/>
      <c r="AJ103" s="3"/>
      <c r="AK103" s="3"/>
      <c r="AL103" s="3"/>
      <c r="AM103" s="3"/>
    </row>
    <row r="104" spans="1:39" s="99" customFormat="1" ht="58.2" customHeight="1" thickBot="1" x14ac:dyDescent="0.8">
      <c r="A104" s="103"/>
      <c r="B104" s="520" t="s">
        <v>331</v>
      </c>
      <c r="C104" s="520"/>
      <c r="D104" s="520"/>
      <c r="E104" s="520"/>
      <c r="F104" s="520"/>
      <c r="G104" s="520"/>
      <c r="H104" s="520"/>
      <c r="I104" s="520"/>
      <c r="J104" s="520"/>
      <c r="K104" s="520"/>
      <c r="L104" s="520"/>
      <c r="M104" s="520"/>
      <c r="N104" s="520"/>
      <c r="O104" s="520"/>
      <c r="P104" s="520"/>
      <c r="Q104" s="520"/>
      <c r="R104" s="520"/>
      <c r="S104" s="520"/>
      <c r="T104" s="520"/>
      <c r="U104" s="520"/>
      <c r="V104" s="520"/>
      <c r="W104" s="520"/>
      <c r="X104" s="520"/>
      <c r="Y104" s="520"/>
      <c r="Z104" s="520"/>
      <c r="AA104" s="520"/>
      <c r="AB104" s="520"/>
      <c r="AC104" s="520"/>
      <c r="AD104" s="520"/>
      <c r="AE104" s="520"/>
      <c r="AF104" s="520"/>
      <c r="AG104" s="520"/>
      <c r="AH104" s="520"/>
      <c r="AI104" s="520"/>
      <c r="AJ104" s="520"/>
      <c r="AK104" s="520"/>
      <c r="AL104" s="520"/>
      <c r="AM104" s="103"/>
    </row>
    <row r="105" spans="1:39" s="14" customFormat="1" ht="23.4" customHeight="1" x14ac:dyDescent="0.4">
      <c r="AM105" s="20"/>
    </row>
    <row r="106" spans="1:39" s="14" customFormat="1" ht="14.4" customHeight="1" x14ac:dyDescent="0.35">
      <c r="B106" s="506" t="s">
        <v>196</v>
      </c>
      <c r="C106" s="507"/>
      <c r="D106" s="507"/>
      <c r="E106" s="507"/>
      <c r="F106" s="507"/>
      <c r="G106" s="507"/>
      <c r="H106" s="508"/>
      <c r="I106" s="99"/>
      <c r="J106" s="1" t="s">
        <v>454</v>
      </c>
      <c r="K106" s="99"/>
      <c r="L106" s="99"/>
      <c r="M106" s="99"/>
      <c r="N106" s="99"/>
      <c r="O106" s="99"/>
      <c r="P106" s="99"/>
      <c r="Q106" s="99"/>
      <c r="R106" s="99"/>
      <c r="S106" s="99"/>
      <c r="T106" s="99"/>
      <c r="U106" s="99"/>
      <c r="V106" s="99"/>
      <c r="W106" s="99"/>
      <c r="X106" s="99"/>
      <c r="Y106" s="99"/>
      <c r="Z106" s="99"/>
      <c r="AA106" s="99"/>
      <c r="AB106" s="99"/>
      <c r="AC106" s="99"/>
      <c r="AD106" s="99"/>
      <c r="AE106" s="99"/>
      <c r="AF106" s="99"/>
      <c r="AG106" s="99"/>
      <c r="AH106" s="99"/>
      <c r="AI106" s="99"/>
      <c r="AJ106" s="99"/>
      <c r="AK106" s="17"/>
      <c r="AL106" s="17"/>
      <c r="AM106" s="96"/>
    </row>
    <row r="107" spans="1:39" s="14" customFormat="1" ht="14.4" customHeight="1" x14ac:dyDescent="0.35">
      <c r="B107" s="109"/>
      <c r="C107" s="109"/>
      <c r="D107" s="109"/>
      <c r="E107" s="109"/>
      <c r="F107" s="109"/>
      <c r="G107" s="109"/>
      <c r="H107" s="109"/>
      <c r="I107" s="99"/>
      <c r="J107" s="1"/>
      <c r="K107" s="99"/>
      <c r="L107" s="99"/>
      <c r="M107" s="99"/>
      <c r="N107" s="99"/>
      <c r="O107" s="99"/>
      <c r="P107" s="99"/>
      <c r="Q107" s="99"/>
      <c r="R107" s="99"/>
      <c r="S107" s="99"/>
      <c r="T107" s="99"/>
      <c r="U107" s="99"/>
      <c r="V107" s="99"/>
      <c r="W107" s="99"/>
      <c r="X107" s="99"/>
      <c r="Y107" s="99"/>
      <c r="Z107" s="99"/>
      <c r="AA107" s="99"/>
      <c r="AB107" s="99"/>
      <c r="AC107" s="99"/>
      <c r="AD107" s="99"/>
      <c r="AE107" s="99"/>
      <c r="AF107" s="99"/>
      <c r="AG107" s="99"/>
      <c r="AH107" s="99"/>
      <c r="AI107" s="99"/>
      <c r="AJ107" s="99"/>
      <c r="AK107" s="17"/>
      <c r="AL107" s="17"/>
      <c r="AM107" s="96"/>
    </row>
    <row r="108" spans="1:39" s="14" customFormat="1" ht="14.4" customHeight="1" x14ac:dyDescent="0.35">
      <c r="B108" s="109"/>
      <c r="C108" s="109"/>
      <c r="D108" s="109"/>
      <c r="E108" s="116" t="s">
        <v>339</v>
      </c>
      <c r="F108" s="109"/>
      <c r="G108" s="109"/>
      <c r="I108" s="99"/>
      <c r="J108" s="1" t="s">
        <v>338</v>
      </c>
      <c r="K108" s="99"/>
      <c r="L108" s="99"/>
      <c r="M108" s="99"/>
      <c r="N108" s="99"/>
      <c r="O108" s="99"/>
      <c r="P108" s="99"/>
      <c r="Q108" s="99"/>
      <c r="R108" s="99"/>
      <c r="S108" s="99"/>
      <c r="T108" s="99"/>
      <c r="U108" s="99"/>
      <c r="V108" s="99"/>
      <c r="W108" s="99"/>
      <c r="X108" s="99"/>
      <c r="Y108" s="99"/>
      <c r="Z108" s="99"/>
      <c r="AA108" s="99"/>
      <c r="AB108" s="99"/>
      <c r="AC108" s="99"/>
      <c r="AD108" s="99"/>
      <c r="AE108" s="99"/>
      <c r="AF108" s="99"/>
      <c r="AG108" s="99"/>
      <c r="AH108" s="99"/>
      <c r="AI108" s="99"/>
      <c r="AJ108" s="99"/>
      <c r="AK108" s="17"/>
      <c r="AL108" s="17"/>
      <c r="AM108" s="96"/>
    </row>
    <row r="109" spans="1:39" s="14" customFormat="1" ht="14.4" customHeight="1" x14ac:dyDescent="0.35">
      <c r="B109" s="109"/>
      <c r="C109" s="109"/>
      <c r="D109" s="109"/>
      <c r="E109" s="109"/>
      <c r="F109" s="109"/>
      <c r="G109" s="109"/>
      <c r="H109" s="109"/>
      <c r="I109" s="99"/>
      <c r="J109" s="1"/>
      <c r="K109" s="99"/>
      <c r="L109" s="99"/>
      <c r="M109" s="99"/>
      <c r="N109" s="99"/>
      <c r="O109" s="99"/>
      <c r="P109" s="99"/>
      <c r="Q109" s="99"/>
      <c r="R109" s="99"/>
      <c r="S109" s="99"/>
      <c r="T109" s="99"/>
      <c r="U109" s="99"/>
      <c r="V109" s="99"/>
      <c r="W109" s="99"/>
      <c r="X109" s="99"/>
      <c r="Y109" s="99"/>
      <c r="Z109" s="99"/>
      <c r="AA109" s="99"/>
      <c r="AB109" s="99"/>
      <c r="AC109" s="99"/>
      <c r="AD109" s="99"/>
      <c r="AE109" s="99"/>
      <c r="AF109" s="99"/>
      <c r="AG109" s="99"/>
      <c r="AH109" s="99"/>
      <c r="AI109" s="99"/>
      <c r="AJ109" s="99"/>
      <c r="AK109" s="17"/>
      <c r="AL109" s="17"/>
      <c r="AM109" s="96"/>
    </row>
    <row r="110" spans="1:39" s="14" customFormat="1" ht="14.4" customHeight="1" x14ac:dyDescent="0.35">
      <c r="B110" s="510" t="s">
        <v>328</v>
      </c>
      <c r="C110" s="511"/>
      <c r="D110" s="511"/>
      <c r="E110" s="511"/>
      <c r="F110" s="511"/>
      <c r="G110" s="511"/>
      <c r="H110" s="512"/>
      <c r="I110" s="99"/>
      <c r="J110" s="1" t="s">
        <v>329</v>
      </c>
      <c r="K110" s="99"/>
      <c r="L110" s="99"/>
      <c r="M110" s="99"/>
      <c r="N110" s="99"/>
      <c r="O110" s="99"/>
      <c r="P110" s="99"/>
      <c r="Q110" s="99"/>
      <c r="R110" s="99"/>
      <c r="S110" s="99"/>
      <c r="T110" s="99"/>
      <c r="U110" s="99"/>
      <c r="V110" s="99"/>
      <c r="W110" s="99"/>
      <c r="X110" s="99"/>
      <c r="Y110" s="99"/>
      <c r="Z110" s="99"/>
      <c r="AA110" s="99"/>
      <c r="AB110" s="99"/>
      <c r="AC110" s="99"/>
      <c r="AD110" s="99"/>
      <c r="AE110" s="99"/>
      <c r="AF110" s="99"/>
      <c r="AG110" s="99"/>
      <c r="AH110" s="99"/>
      <c r="AI110" s="99"/>
      <c r="AJ110" s="99"/>
      <c r="AK110" s="17"/>
      <c r="AL110" s="17"/>
      <c r="AM110" s="96"/>
    </row>
    <row r="111" spans="1:39" s="14" customFormat="1" ht="14.4" customHeight="1" x14ac:dyDescent="0.35">
      <c r="B111" s="109"/>
      <c r="C111" s="109"/>
      <c r="D111" s="109"/>
      <c r="E111" s="109"/>
      <c r="F111" s="109"/>
      <c r="G111" s="109"/>
      <c r="H111" s="109"/>
      <c r="I111" s="99"/>
      <c r="J111" s="1"/>
      <c r="K111" s="99"/>
      <c r="L111" s="99"/>
      <c r="M111" s="99"/>
      <c r="N111" s="99"/>
      <c r="O111" s="99"/>
      <c r="P111" s="99"/>
      <c r="Q111" s="99"/>
      <c r="R111" s="99"/>
      <c r="S111" s="99"/>
      <c r="T111" s="99"/>
      <c r="U111" s="99"/>
      <c r="V111" s="99"/>
      <c r="W111" s="99"/>
      <c r="X111" s="99"/>
      <c r="Y111" s="99"/>
      <c r="Z111" s="99"/>
      <c r="AA111" s="99"/>
      <c r="AB111" s="99"/>
      <c r="AC111" s="99"/>
      <c r="AD111" s="99"/>
      <c r="AE111" s="99"/>
      <c r="AF111" s="99"/>
      <c r="AG111" s="99"/>
      <c r="AH111" s="99"/>
      <c r="AI111" s="99"/>
      <c r="AJ111" s="99"/>
      <c r="AK111" s="17"/>
      <c r="AL111" s="17"/>
      <c r="AM111" s="96"/>
    </row>
    <row r="112" spans="1:39" s="14" customFormat="1" ht="14.4" customHeight="1" x14ac:dyDescent="0.35">
      <c r="B112" s="503" t="s">
        <v>197</v>
      </c>
      <c r="C112" s="504"/>
      <c r="D112" s="504"/>
      <c r="E112" s="504"/>
      <c r="F112" s="504"/>
      <c r="G112" s="504"/>
      <c r="H112" s="505"/>
      <c r="I112" s="99"/>
      <c r="J112" s="1" t="s">
        <v>455</v>
      </c>
      <c r="K112" s="99"/>
      <c r="L112" s="99"/>
      <c r="M112" s="99"/>
      <c r="N112" s="99"/>
      <c r="O112" s="99"/>
      <c r="P112" s="99"/>
      <c r="Q112" s="99"/>
      <c r="R112" s="99"/>
      <c r="S112" s="99"/>
      <c r="T112" s="99"/>
      <c r="U112" s="99"/>
      <c r="V112" s="99"/>
      <c r="W112" s="99"/>
      <c r="X112" s="99"/>
      <c r="Y112" s="99"/>
      <c r="Z112" s="99"/>
      <c r="AA112" s="99"/>
      <c r="AB112" s="99"/>
      <c r="AD112" s="99"/>
      <c r="AF112" s="99"/>
      <c r="AG112" s="99"/>
      <c r="AH112" s="99"/>
      <c r="AI112" s="99"/>
      <c r="AJ112" s="99"/>
      <c r="AK112" s="17"/>
      <c r="AL112" s="17"/>
      <c r="AM112" s="96"/>
    </row>
    <row r="113" spans="1:43" s="14" customFormat="1" ht="14.4" customHeight="1" x14ac:dyDescent="0.35">
      <c r="B113" s="99"/>
      <c r="C113" s="99"/>
      <c r="D113" s="99"/>
      <c r="E113" s="99"/>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99"/>
      <c r="AD113" s="99"/>
      <c r="AE113" s="99"/>
      <c r="AF113" s="99"/>
      <c r="AG113" s="99"/>
      <c r="AH113" s="99"/>
      <c r="AI113" s="99"/>
      <c r="AJ113" s="99"/>
      <c r="AK113" s="17"/>
      <c r="AL113" s="17"/>
      <c r="AM113" s="96"/>
    </row>
    <row r="114" spans="1:43" s="14" customFormat="1" ht="22.8" x14ac:dyDescent="0.35">
      <c r="C114" s="99"/>
      <c r="D114" s="99"/>
      <c r="E114" s="99"/>
      <c r="F114" s="99"/>
      <c r="G114" s="99"/>
      <c r="H114" s="99"/>
      <c r="I114" s="1"/>
      <c r="J114" s="99"/>
      <c r="K114" s="99"/>
      <c r="L114" s="99"/>
      <c r="M114" s="99"/>
      <c r="N114" s="99"/>
      <c r="O114" s="99"/>
      <c r="P114" s="255" t="s">
        <v>234</v>
      </c>
      <c r="Q114" s="99"/>
      <c r="R114" s="499" t="s">
        <v>235</v>
      </c>
      <c r="S114" s="499"/>
      <c r="T114" s="499"/>
      <c r="U114" s="109" t="s">
        <v>236</v>
      </c>
      <c r="V114" s="509" t="s">
        <v>237</v>
      </c>
      <c r="W114" s="509"/>
      <c r="X114" s="509"/>
      <c r="Y114" s="509"/>
      <c r="Z114" s="1" t="s">
        <v>244</v>
      </c>
      <c r="AA114" s="99"/>
      <c r="AB114" s="99"/>
      <c r="AC114" s="99"/>
      <c r="AD114" s="99"/>
      <c r="AE114" s="99"/>
      <c r="AF114" s="99"/>
      <c r="AG114" s="99"/>
      <c r="AH114" s="99"/>
      <c r="AI114" s="99"/>
      <c r="AJ114" s="99"/>
      <c r="AK114" s="17"/>
      <c r="AL114" s="17"/>
      <c r="AM114" s="96"/>
    </row>
    <row r="115" spans="1:43" s="14" customFormat="1" ht="14.4" customHeight="1" x14ac:dyDescent="0.35">
      <c r="C115" s="99"/>
      <c r="D115" s="99"/>
      <c r="E115" s="99"/>
      <c r="F115" s="99"/>
      <c r="G115" s="99"/>
      <c r="H115" s="99"/>
      <c r="I115" s="99"/>
      <c r="J115" s="99"/>
      <c r="K115" s="99"/>
      <c r="L115" s="99"/>
      <c r="M115" s="99"/>
      <c r="N115" s="99"/>
      <c r="O115" s="99"/>
      <c r="P115" s="108"/>
      <c r="Q115" s="99"/>
      <c r="R115" s="147"/>
      <c r="S115" s="147"/>
      <c r="T115" s="147"/>
      <c r="U115" s="109"/>
      <c r="V115" s="147"/>
      <c r="W115" s="147"/>
      <c r="X115" s="147"/>
      <c r="Y115" s="147"/>
      <c r="Z115" s="99"/>
      <c r="AA115" s="99"/>
      <c r="AB115" s="99"/>
      <c r="AC115" s="99"/>
      <c r="AD115" s="99"/>
      <c r="AE115" s="99"/>
      <c r="AF115" s="99"/>
      <c r="AG115" s="99"/>
      <c r="AH115" s="99"/>
      <c r="AI115" s="99"/>
      <c r="AJ115" s="99"/>
      <c r="AK115" s="17"/>
      <c r="AL115" s="17"/>
      <c r="AM115" s="96"/>
    </row>
    <row r="116" spans="1:43" s="14" customFormat="1" ht="14.4" customHeight="1" x14ac:dyDescent="0.25">
      <c r="A116" s="491" t="s">
        <v>434</v>
      </c>
      <c r="B116" s="491"/>
      <c r="C116" s="491"/>
      <c r="D116" s="491"/>
      <c r="E116" s="491"/>
      <c r="F116" s="491"/>
      <c r="G116" s="491"/>
      <c r="H116" s="491"/>
      <c r="I116" s="491"/>
      <c r="J116" s="491"/>
      <c r="K116" s="491"/>
      <c r="L116" s="491"/>
      <c r="M116" s="491"/>
      <c r="N116" s="491"/>
      <c r="O116" s="491"/>
      <c r="P116" s="491"/>
      <c r="Q116" s="491"/>
      <c r="R116" s="491"/>
      <c r="S116" s="491"/>
      <c r="T116" s="491"/>
      <c r="U116" s="491"/>
      <c r="V116" s="491"/>
      <c r="W116" s="491"/>
      <c r="X116" s="491"/>
      <c r="Y116" s="491"/>
      <c r="Z116" s="491"/>
      <c r="AA116" s="491"/>
      <c r="AB116" s="491"/>
      <c r="AC116" s="491"/>
      <c r="AD116" s="491"/>
      <c r="AE116" s="491"/>
      <c r="AF116" s="491"/>
      <c r="AG116" s="491"/>
      <c r="AH116" s="491"/>
      <c r="AI116" s="491"/>
      <c r="AJ116" s="491"/>
      <c r="AK116" s="491"/>
      <c r="AL116" s="491"/>
      <c r="AM116" s="491"/>
      <c r="AN116" s="491"/>
    </row>
    <row r="117" spans="1:43" s="14" customFormat="1" ht="14.4" customHeight="1" x14ac:dyDescent="0.4">
      <c r="A117" s="20"/>
      <c r="AN117" s="21"/>
      <c r="AO117" s="21"/>
      <c r="AP117" s="21"/>
      <c r="AQ117" s="21"/>
    </row>
    <row r="118" spans="1:43" s="99" customFormat="1" ht="46.95" customHeight="1" x14ac:dyDescent="0.35">
      <c r="A118" s="103"/>
      <c r="B118" s="103"/>
      <c r="C118" s="103"/>
      <c r="D118" s="103"/>
      <c r="E118" s="103"/>
      <c r="F118" s="103"/>
      <c r="G118" s="103"/>
      <c r="H118" s="103"/>
      <c r="I118" s="103"/>
      <c r="J118" s="103"/>
      <c r="K118" s="103"/>
      <c r="L118" s="103"/>
      <c r="M118" s="103"/>
      <c r="N118" s="103"/>
      <c r="O118" s="103"/>
      <c r="P118" s="103"/>
      <c r="Q118" s="103"/>
      <c r="R118" s="103"/>
      <c r="S118" s="103"/>
      <c r="T118" s="103"/>
      <c r="U118" s="103"/>
      <c r="V118" s="103"/>
      <c r="W118" s="103"/>
      <c r="X118" s="103"/>
      <c r="Y118" s="7" t="s">
        <v>5</v>
      </c>
      <c r="Z118" s="103"/>
      <c r="AA118" s="103"/>
      <c r="AB118" s="103"/>
      <c r="AC118" s="103"/>
      <c r="AD118" s="103"/>
      <c r="AE118" s="103"/>
      <c r="AF118" s="103"/>
      <c r="AG118" s="103"/>
      <c r="AH118" s="103"/>
      <c r="AI118" s="103"/>
      <c r="AJ118" s="103"/>
      <c r="AK118" s="103"/>
      <c r="AL118" s="103"/>
      <c r="AM118" s="103"/>
    </row>
    <row r="119" spans="1:43" s="1" customFormat="1" ht="18" x14ac:dyDescent="0.3">
      <c r="A119" s="3"/>
      <c r="B119" s="3"/>
      <c r="C119" s="3"/>
      <c r="D119" s="3"/>
      <c r="E119" s="3"/>
      <c r="F119" s="3"/>
      <c r="G119" s="3"/>
      <c r="H119" s="3"/>
      <c r="I119" s="3"/>
      <c r="J119" s="3"/>
      <c r="K119" s="3"/>
      <c r="L119" s="3"/>
      <c r="M119" s="3"/>
      <c r="N119" s="3"/>
      <c r="O119" s="3"/>
      <c r="P119" s="3"/>
      <c r="Q119" s="3"/>
      <c r="R119" s="3"/>
      <c r="S119" s="3"/>
      <c r="T119" s="3"/>
      <c r="U119" s="3"/>
      <c r="V119" s="3"/>
      <c r="W119" s="3"/>
      <c r="X119" s="3"/>
      <c r="Y119" s="22"/>
      <c r="Z119" s="3"/>
      <c r="AA119" s="3"/>
      <c r="AB119" s="3"/>
      <c r="AC119" s="3"/>
      <c r="AD119" s="3"/>
      <c r="AE119" s="3"/>
      <c r="AF119" s="3"/>
      <c r="AG119" s="3"/>
      <c r="AH119" s="3"/>
      <c r="AI119" s="3"/>
      <c r="AJ119" s="3"/>
      <c r="AK119" s="3"/>
      <c r="AL119" s="3"/>
      <c r="AM119" s="3"/>
    </row>
  </sheetData>
  <sheetProtection algorithmName="SHA-512" hashValue="W7tl0bxLW1wl8HkCKkrlqJIRgp0a4qGYqYNT2tzGjyeix6cKGbK2xcJpSMvJY4ogX5mShoExAv881iQWRxhoVw==" saltValue="UOJQYsqWITcjyBrxMDGEDw==" spinCount="100000" sheet="1" formatCells="0" formatColumns="0" formatRows="0" insertColumns="0" insertRows="0" insertHyperlinks="0" deleteColumns="0" deleteRows="0" sort="0" autoFilter="0" pivotTables="0"/>
  <mergeCells count="74">
    <mergeCell ref="L63:O63"/>
    <mergeCell ref="S63:AL63"/>
    <mergeCell ref="C39:R39"/>
    <mergeCell ref="C40:R40"/>
    <mergeCell ref="C41:R41"/>
    <mergeCell ref="C42:R42"/>
    <mergeCell ref="C43:R43"/>
    <mergeCell ref="C44:R44"/>
    <mergeCell ref="T39:Z39"/>
    <mergeCell ref="T44:Z44"/>
    <mergeCell ref="AB39:AD39"/>
    <mergeCell ref="T40:Z40"/>
    <mergeCell ref="AB41:AD41"/>
    <mergeCell ref="AB42:AD42"/>
    <mergeCell ref="AB43:AD43"/>
    <mergeCell ref="AB44:AD44"/>
    <mergeCell ref="T41:Z41"/>
    <mergeCell ref="T42:Z42"/>
    <mergeCell ref="T43:Z43"/>
    <mergeCell ref="AF58:AG58"/>
    <mergeCell ref="H26:I26"/>
    <mergeCell ref="J26:T26"/>
    <mergeCell ref="W26:Y26"/>
    <mergeCell ref="AA26:AL26"/>
    <mergeCell ref="AF36:AH37"/>
    <mergeCell ref="C37:R37"/>
    <mergeCell ref="T37:Z37"/>
    <mergeCell ref="AB40:AD40"/>
    <mergeCell ref="AB37:AD37"/>
    <mergeCell ref="A2:AM2"/>
    <mergeCell ref="J9:AF9"/>
    <mergeCell ref="A18:AM18"/>
    <mergeCell ref="B9:I9"/>
    <mergeCell ref="A3:AM3"/>
    <mergeCell ref="A5:AL6"/>
    <mergeCell ref="AG9:AM9"/>
    <mergeCell ref="A8:AM8"/>
    <mergeCell ref="B110:H110"/>
    <mergeCell ref="A97:AM97"/>
    <mergeCell ref="S28:Z28"/>
    <mergeCell ref="S32:AG32"/>
    <mergeCell ref="M54:Z54"/>
    <mergeCell ref="E52:I52"/>
    <mergeCell ref="G47:Q47"/>
    <mergeCell ref="S47:Z47"/>
    <mergeCell ref="B104:AL104"/>
    <mergeCell ref="Z84:AL84"/>
    <mergeCell ref="T82:U82"/>
    <mergeCell ref="Z82:AL82"/>
    <mergeCell ref="AD56:AG56"/>
    <mergeCell ref="AD86:AL86"/>
    <mergeCell ref="G88:U88"/>
    <mergeCell ref="AE28:AL28"/>
    <mergeCell ref="A116:AN116"/>
    <mergeCell ref="I60:AK61"/>
    <mergeCell ref="E60:H60"/>
    <mergeCell ref="O86:U86"/>
    <mergeCell ref="X90:AL90"/>
    <mergeCell ref="A96:AM96"/>
    <mergeCell ref="G86:L86"/>
    <mergeCell ref="G82:R82"/>
    <mergeCell ref="G84:R84"/>
    <mergeCell ref="T84:U84"/>
    <mergeCell ref="R114:T114"/>
    <mergeCell ref="A94:AM94"/>
    <mergeCell ref="B77:AL79"/>
    <mergeCell ref="B112:H112"/>
    <mergeCell ref="B106:H106"/>
    <mergeCell ref="V114:Y114"/>
    <mergeCell ref="S65:AL65"/>
    <mergeCell ref="AG71:AH71"/>
    <mergeCell ref="AG73:AH73"/>
    <mergeCell ref="T71:AC71"/>
    <mergeCell ref="Z73:AC73"/>
  </mergeCells>
  <phoneticPr fontId="0" type="noConversion"/>
  <conditionalFormatting sqref="L58">
    <cfRule type="cellIs" dxfId="79" priority="1" operator="equal">
      <formula>0</formula>
    </cfRule>
  </conditionalFormatting>
  <dataValidations count="9">
    <dataValidation type="list" showErrorMessage="1" sqref="S28">
      <formula1>"Titolare di azienda agricola omonima, Rappresentante legale dell'azienda sotto indicata"</formula1>
    </dataValidation>
    <dataValidation type="list" allowBlank="1" showInputMessage="1" showErrorMessage="1" sqref="E52">
      <formula1>"di essere, di non essere"</formula1>
    </dataValidation>
    <dataValidation type="textLength" operator="greaterThan" allowBlank="1" showInputMessage="1" showErrorMessage="1" errorTitle="INSERIRE UN INDIRIZZO PEC VALIDO" sqref="V88:Z88">
      <formula1>8</formula1>
    </dataValidation>
    <dataValidation type="list" allowBlank="1" showInputMessage="1" showErrorMessage="1" sqref="S32:AG32">
      <formula1>"SOCIETA' SEMPLICE, SRL AGRICOLA, SOC COOPERATIVA AGRICOLA, ALTRO, indicare la natura giuridica del soggetto"</formula1>
    </dataValidation>
    <dataValidation type="list" allowBlank="1" showInputMessage="1" showErrorMessage="1" sqref="AB39:AD44">
      <formula1>"titolare,contitolare"</formula1>
    </dataValidation>
    <dataValidation type="textLength" allowBlank="1" showInputMessage="1" showErrorMessage="1" errorTitle="nome e sognome sottoscrittore" error="DATO NON INSEIRTO" sqref="J24:AL25">
      <formula1>5</formula1>
      <formula2>40</formula2>
    </dataValidation>
    <dataValidation type="list" allowBlank="1" showInputMessage="1" showErrorMessage="1" sqref="S63:AL63">
      <formula1>"scegliere dal menù a tendina,APERTURA NUOVA P.IVA COME DITTA INDIVIDUALE O ALTRE FORME,AGGIUNTA DI ATTIVITA' AGRICOLA A P.IVA PREESISTENTE (DITTA INDIVIDUALE O ALTRE FORME),INSEDIAMENTO IN AZIENDA AGRICOLA GIA' ESISTENTE COSTITUITA IN FORMA NON INDIVID"</formula1>
    </dataValidation>
    <dataValidation type="list" allowBlank="1" showInputMessage="1" showErrorMessage="1" sqref="C67 C69 C71 C73 C75">
      <formula1>"X"</formula1>
    </dataValidation>
    <dataValidation type="list" allowBlank="1" showInputMessage="1" showErrorMessage="1" sqref="T71:AC71">
      <formula1>"diploma perito agrario/agrotenico,diploma o laurea univesritaria settore agrario,diploma o laurea universitaria settore scienze naturali o veterinarie,ALTRO (specificare nella relazione tecnica)"</formula1>
    </dataValidation>
  </dataValidations>
  <printOptions horizontalCentered="1"/>
  <pageMargins left="0.35433070866141736" right="0.23622047244094491" top="0.31496062992125984" bottom="0.31496062992125984" header="0.31496062992125984" footer="0.31496062992125984"/>
  <pageSetup paperSize="9" scale="41" orientation="portrait" blackAndWhite="1" r:id="rId1"/>
  <headerFooter alignWithMargins="0">
    <oddFooter xml:space="preserve">&amp;C&amp;A&amp;Rpag &amp;P </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B1:Z254"/>
  <sheetViews>
    <sheetView showGridLines="0" topLeftCell="A3" zoomScale="110" zoomScaleNormal="110" workbookViewId="0">
      <selection activeCell="G9" sqref="G9"/>
    </sheetView>
  </sheetViews>
  <sheetFormatPr defaultColWidth="8.88671875" defaultRowHeight="13.8" x14ac:dyDescent="0.25"/>
  <cols>
    <col min="1" max="1" width="2.5546875" style="121" customWidth="1"/>
    <col min="2" max="2" width="5" style="120" customWidth="1"/>
    <col min="3" max="3" width="10.5546875" style="120" bestFit="1" customWidth="1"/>
    <col min="4" max="4" width="47.6640625" style="121" customWidth="1"/>
    <col min="5" max="5" width="12.33203125" style="120" bestFit="1" customWidth="1"/>
    <col min="6" max="6" width="25.21875" style="121" customWidth="1"/>
    <col min="7" max="7" width="11.33203125" style="121" customWidth="1"/>
    <col min="8" max="8" width="10.44140625" style="121" customWidth="1"/>
    <col min="9" max="9" width="16.6640625" style="121" customWidth="1"/>
    <col min="10" max="10" width="2.33203125" style="121" customWidth="1"/>
    <col min="11" max="11" width="11.6640625" style="121" bestFit="1" customWidth="1"/>
    <col min="12" max="19" width="8.88671875" style="121"/>
    <col min="20" max="23" width="0" style="121" hidden="1" customWidth="1"/>
    <col min="24" max="24" width="5.6640625" style="121" hidden="1" customWidth="1"/>
    <col min="25" max="25" width="11.6640625" style="121" hidden="1" customWidth="1"/>
    <col min="26" max="26" width="2.33203125" style="121" hidden="1" customWidth="1"/>
    <col min="27" max="29" width="0" style="121" hidden="1" customWidth="1"/>
    <col min="30" max="16384" width="8.88671875" style="121"/>
  </cols>
  <sheetData>
    <row r="1" spans="2:26" x14ac:dyDescent="0.25">
      <c r="B1" s="119"/>
    </row>
    <row r="2" spans="2:26" ht="19.2" customHeight="1" x14ac:dyDescent="0.25">
      <c r="B2" s="222" t="s">
        <v>345</v>
      </c>
      <c r="D2" s="548">
        <f>+'PAS PACCHETTO 1 anagraf'!J24</f>
        <v>0</v>
      </c>
      <c r="E2" s="549"/>
      <c r="F2" s="122"/>
      <c r="G2" s="545"/>
      <c r="H2" s="545"/>
      <c r="I2" s="545"/>
    </row>
    <row r="3" spans="2:26" ht="13.2" customHeight="1" x14ac:dyDescent="0.25">
      <c r="B3" s="121"/>
    </row>
    <row r="4" spans="2:26" x14ac:dyDescent="0.25">
      <c r="B4" s="123" t="s">
        <v>326</v>
      </c>
      <c r="I4" s="366"/>
    </row>
    <row r="5" spans="2:26" ht="28.2" customHeight="1" x14ac:dyDescent="0.25">
      <c r="B5" s="550" t="s">
        <v>346</v>
      </c>
      <c r="C5" s="550"/>
      <c r="D5" s="550"/>
      <c r="E5" s="550"/>
      <c r="F5" s="550"/>
      <c r="G5" s="550"/>
      <c r="H5" s="550"/>
      <c r="I5" s="550"/>
    </row>
    <row r="6" spans="2:26" s="125" customFormat="1" ht="19.95" customHeight="1" x14ac:dyDescent="0.25">
      <c r="B6" s="552" t="s">
        <v>347</v>
      </c>
      <c r="C6" s="552"/>
      <c r="D6" s="552"/>
      <c r="E6" s="552"/>
      <c r="F6" s="295">
        <f>+'PAS PACCHETTO 1 anagraf'!Z56</f>
        <v>0</v>
      </c>
      <c r="G6" s="124" t="s">
        <v>348</v>
      </c>
      <c r="H6" s="124"/>
      <c r="I6" s="146">
        <f>+'PAS PACCHETTO 1 anagraf'!AD56</f>
        <v>0</v>
      </c>
    </row>
    <row r="7" spans="2:26" x14ac:dyDescent="0.25">
      <c r="D7" s="120"/>
      <c r="F7" s="120"/>
      <c r="G7" s="120"/>
      <c r="H7" s="120"/>
      <c r="I7" s="120"/>
    </row>
    <row r="8" spans="2:26" ht="22.8" x14ac:dyDescent="0.25">
      <c r="B8" s="126" t="s">
        <v>349</v>
      </c>
      <c r="C8" s="126" t="s">
        <v>350</v>
      </c>
      <c r="D8" s="126" t="s">
        <v>351</v>
      </c>
      <c r="E8" s="126" t="s">
        <v>449</v>
      </c>
      <c r="F8" s="126" t="s">
        <v>352</v>
      </c>
      <c r="G8" s="126" t="s">
        <v>472</v>
      </c>
      <c r="H8" s="126" t="s">
        <v>473</v>
      </c>
      <c r="I8" s="127" t="s">
        <v>325</v>
      </c>
    </row>
    <row r="9" spans="2:26" ht="15" customHeight="1" x14ac:dyDescent="0.25">
      <c r="B9" s="128">
        <v>1</v>
      </c>
      <c r="C9" s="128" t="str">
        <f>IFERROR(INDEX($E$170:$E$254,MATCH(D9,$D$170:$D$254,0)),"")</f>
        <v/>
      </c>
      <c r="D9" s="298"/>
      <c r="E9" s="148" t="str">
        <f t="shared" ref="E9:E23" si="0">IFERROR(INDEX($G$170:$G$254,MATCH(D9,$D$170:$D$254,0)),"")</f>
        <v/>
      </c>
      <c r="F9" s="128" t="str">
        <f t="shared" ref="F9:F23" si="1">IFERROR(INDEX($F$170:$F$254,MATCH(D9,$D$170:$D$254,0)),"")</f>
        <v/>
      </c>
      <c r="G9" s="282"/>
      <c r="H9" s="282"/>
      <c r="I9" s="129" t="str">
        <f>IFERROR((+G9*E9)+(H9*E9)," ")</f>
        <v xml:space="preserve"> </v>
      </c>
      <c r="Z9" s="280" t="str">
        <f t="shared" ref="Z9:Z23" si="2">IFERROR(INDEX($C$170:$C$254,MATCH(D9,$D$170:$D$254,0)),"")</f>
        <v/>
      </c>
    </row>
    <row r="10" spans="2:26" ht="15" customHeight="1" x14ac:dyDescent="0.25">
      <c r="B10" s="128">
        <v>2</v>
      </c>
      <c r="C10" s="128" t="str">
        <f t="shared" ref="C10:C23" si="3">IFERROR(INDEX($E$170:$E$254,MATCH(D10,$D$170:$D$254,0)),"")</f>
        <v/>
      </c>
      <c r="D10" s="298"/>
      <c r="E10" s="148" t="str">
        <f t="shared" si="0"/>
        <v/>
      </c>
      <c r="F10" s="128" t="str">
        <f t="shared" si="1"/>
        <v/>
      </c>
      <c r="G10" s="282"/>
      <c r="H10" s="282"/>
      <c r="I10" s="129" t="str">
        <f t="shared" ref="I10:I28" si="4">IFERROR((+G10*E10)+(H10*E10)," ")</f>
        <v xml:space="preserve"> </v>
      </c>
      <c r="Z10" s="280" t="str">
        <f t="shared" si="2"/>
        <v/>
      </c>
    </row>
    <row r="11" spans="2:26" ht="15" customHeight="1" x14ac:dyDescent="0.25">
      <c r="B11" s="128">
        <v>3</v>
      </c>
      <c r="C11" s="128" t="str">
        <f t="shared" si="3"/>
        <v/>
      </c>
      <c r="D11" s="298"/>
      <c r="E11" s="148" t="str">
        <f t="shared" si="0"/>
        <v/>
      </c>
      <c r="F11" s="128" t="str">
        <f t="shared" si="1"/>
        <v/>
      </c>
      <c r="G11" s="282"/>
      <c r="H11" s="282"/>
      <c r="I11" s="129" t="str">
        <f t="shared" si="4"/>
        <v xml:space="preserve"> </v>
      </c>
      <c r="Z11" s="280" t="str">
        <f t="shared" si="2"/>
        <v/>
      </c>
    </row>
    <row r="12" spans="2:26" ht="15" customHeight="1" x14ac:dyDescent="0.25">
      <c r="B12" s="128">
        <v>4</v>
      </c>
      <c r="C12" s="128" t="str">
        <f t="shared" si="3"/>
        <v/>
      </c>
      <c r="D12" s="298"/>
      <c r="E12" s="148" t="str">
        <f t="shared" si="0"/>
        <v/>
      </c>
      <c r="F12" s="128" t="str">
        <f t="shared" si="1"/>
        <v/>
      </c>
      <c r="G12" s="282"/>
      <c r="H12" s="282"/>
      <c r="I12" s="129" t="str">
        <f t="shared" si="4"/>
        <v xml:space="preserve"> </v>
      </c>
      <c r="Z12" s="280" t="str">
        <f t="shared" si="2"/>
        <v/>
      </c>
    </row>
    <row r="13" spans="2:26" ht="15" customHeight="1" x14ac:dyDescent="0.25">
      <c r="B13" s="128">
        <v>5</v>
      </c>
      <c r="C13" s="128" t="str">
        <f t="shared" si="3"/>
        <v/>
      </c>
      <c r="D13" s="298"/>
      <c r="E13" s="148" t="str">
        <f t="shared" si="0"/>
        <v/>
      </c>
      <c r="F13" s="128" t="str">
        <f t="shared" si="1"/>
        <v/>
      </c>
      <c r="G13" s="282"/>
      <c r="H13" s="282"/>
      <c r="I13" s="129" t="str">
        <f t="shared" si="4"/>
        <v xml:space="preserve"> </v>
      </c>
      <c r="Z13" s="280" t="str">
        <f t="shared" si="2"/>
        <v/>
      </c>
    </row>
    <row r="14" spans="2:26" ht="15" customHeight="1" x14ac:dyDescent="0.25">
      <c r="B14" s="128">
        <v>6</v>
      </c>
      <c r="C14" s="128" t="str">
        <f t="shared" si="3"/>
        <v/>
      </c>
      <c r="D14" s="298"/>
      <c r="E14" s="148" t="str">
        <f t="shared" si="0"/>
        <v/>
      </c>
      <c r="F14" s="128" t="str">
        <f t="shared" si="1"/>
        <v/>
      </c>
      <c r="G14" s="282"/>
      <c r="H14" s="282"/>
      <c r="I14" s="129" t="str">
        <f t="shared" si="4"/>
        <v xml:space="preserve"> </v>
      </c>
      <c r="Z14" s="280" t="str">
        <f t="shared" si="2"/>
        <v/>
      </c>
    </row>
    <row r="15" spans="2:26" ht="15" customHeight="1" x14ac:dyDescent="0.25">
      <c r="B15" s="128">
        <v>7</v>
      </c>
      <c r="C15" s="128" t="str">
        <f t="shared" si="3"/>
        <v/>
      </c>
      <c r="D15" s="298"/>
      <c r="E15" s="148" t="str">
        <f t="shared" si="0"/>
        <v/>
      </c>
      <c r="F15" s="128" t="str">
        <f t="shared" si="1"/>
        <v/>
      </c>
      <c r="G15" s="282"/>
      <c r="H15" s="282"/>
      <c r="I15" s="129" t="str">
        <f t="shared" si="4"/>
        <v xml:space="preserve"> </v>
      </c>
      <c r="Z15" s="280" t="str">
        <f t="shared" si="2"/>
        <v/>
      </c>
    </row>
    <row r="16" spans="2:26" ht="15" customHeight="1" x14ac:dyDescent="0.25">
      <c r="B16" s="128">
        <v>8</v>
      </c>
      <c r="C16" s="128" t="str">
        <f t="shared" si="3"/>
        <v/>
      </c>
      <c r="D16" s="298"/>
      <c r="E16" s="148" t="str">
        <f t="shared" si="0"/>
        <v/>
      </c>
      <c r="F16" s="128" t="str">
        <f t="shared" si="1"/>
        <v/>
      </c>
      <c r="G16" s="282"/>
      <c r="H16" s="282"/>
      <c r="I16" s="129" t="str">
        <f t="shared" si="4"/>
        <v xml:space="preserve"> </v>
      </c>
      <c r="Z16" s="280" t="str">
        <f t="shared" si="2"/>
        <v/>
      </c>
    </row>
    <row r="17" spans="2:26" ht="15" customHeight="1" x14ac:dyDescent="0.25">
      <c r="B17" s="128">
        <v>9</v>
      </c>
      <c r="C17" s="128" t="str">
        <f t="shared" si="3"/>
        <v/>
      </c>
      <c r="D17" s="298"/>
      <c r="E17" s="148" t="str">
        <f t="shared" si="0"/>
        <v/>
      </c>
      <c r="F17" s="128" t="str">
        <f t="shared" si="1"/>
        <v/>
      </c>
      <c r="G17" s="282"/>
      <c r="H17" s="282"/>
      <c r="I17" s="129" t="str">
        <f t="shared" si="4"/>
        <v xml:space="preserve"> </v>
      </c>
      <c r="Z17" s="280" t="str">
        <f t="shared" si="2"/>
        <v/>
      </c>
    </row>
    <row r="18" spans="2:26" ht="15" customHeight="1" x14ac:dyDescent="0.25">
      <c r="B18" s="128">
        <v>10</v>
      </c>
      <c r="C18" s="128" t="str">
        <f t="shared" si="3"/>
        <v/>
      </c>
      <c r="D18" s="298"/>
      <c r="E18" s="148" t="str">
        <f t="shared" si="0"/>
        <v/>
      </c>
      <c r="F18" s="128" t="str">
        <f t="shared" si="1"/>
        <v/>
      </c>
      <c r="G18" s="282"/>
      <c r="H18" s="282"/>
      <c r="I18" s="129" t="str">
        <f t="shared" si="4"/>
        <v xml:space="preserve"> </v>
      </c>
      <c r="Z18" s="280" t="str">
        <f t="shared" si="2"/>
        <v/>
      </c>
    </row>
    <row r="19" spans="2:26" ht="15" customHeight="1" x14ac:dyDescent="0.25">
      <c r="B19" s="128">
        <v>11</v>
      </c>
      <c r="C19" s="128" t="str">
        <f t="shared" si="3"/>
        <v/>
      </c>
      <c r="D19" s="298"/>
      <c r="E19" s="148" t="str">
        <f t="shared" si="0"/>
        <v/>
      </c>
      <c r="F19" s="128" t="str">
        <f t="shared" si="1"/>
        <v/>
      </c>
      <c r="G19" s="282"/>
      <c r="H19" s="282"/>
      <c r="I19" s="129" t="str">
        <f t="shared" si="4"/>
        <v xml:space="preserve"> </v>
      </c>
      <c r="Z19" s="280" t="str">
        <f t="shared" si="2"/>
        <v/>
      </c>
    </row>
    <row r="20" spans="2:26" ht="15" customHeight="1" x14ac:dyDescent="0.25">
      <c r="B20" s="128">
        <v>12</v>
      </c>
      <c r="C20" s="128" t="str">
        <f t="shared" si="3"/>
        <v/>
      </c>
      <c r="D20" s="298"/>
      <c r="E20" s="148" t="str">
        <f t="shared" si="0"/>
        <v/>
      </c>
      <c r="F20" s="128" t="str">
        <f t="shared" si="1"/>
        <v/>
      </c>
      <c r="G20" s="282"/>
      <c r="H20" s="282"/>
      <c r="I20" s="129" t="str">
        <f t="shared" si="4"/>
        <v xml:space="preserve"> </v>
      </c>
      <c r="Z20" s="280" t="str">
        <f t="shared" si="2"/>
        <v/>
      </c>
    </row>
    <row r="21" spans="2:26" ht="15" customHeight="1" x14ac:dyDescent="0.25">
      <c r="B21" s="128">
        <v>13</v>
      </c>
      <c r="C21" s="128" t="str">
        <f t="shared" si="3"/>
        <v/>
      </c>
      <c r="D21" s="298"/>
      <c r="E21" s="148" t="str">
        <f t="shared" si="0"/>
        <v/>
      </c>
      <c r="F21" s="128" t="str">
        <f t="shared" si="1"/>
        <v/>
      </c>
      <c r="G21" s="282"/>
      <c r="H21" s="282"/>
      <c r="I21" s="129" t="str">
        <f t="shared" si="4"/>
        <v xml:space="preserve"> </v>
      </c>
      <c r="Z21" s="280" t="str">
        <f t="shared" si="2"/>
        <v/>
      </c>
    </row>
    <row r="22" spans="2:26" ht="15" customHeight="1" x14ac:dyDescent="0.25">
      <c r="B22" s="128">
        <v>14</v>
      </c>
      <c r="C22" s="128" t="str">
        <f t="shared" si="3"/>
        <v/>
      </c>
      <c r="D22" s="298"/>
      <c r="E22" s="148" t="str">
        <f t="shared" si="0"/>
        <v/>
      </c>
      <c r="F22" s="128" t="str">
        <f t="shared" si="1"/>
        <v/>
      </c>
      <c r="G22" s="282"/>
      <c r="H22" s="282"/>
      <c r="I22" s="129" t="str">
        <f t="shared" si="4"/>
        <v xml:space="preserve"> </v>
      </c>
      <c r="Z22" s="280" t="str">
        <f t="shared" si="2"/>
        <v/>
      </c>
    </row>
    <row r="23" spans="2:26" ht="15" customHeight="1" x14ac:dyDescent="0.25">
      <c r="B23" s="128">
        <v>15</v>
      </c>
      <c r="C23" s="128" t="str">
        <f t="shared" si="3"/>
        <v/>
      </c>
      <c r="D23" s="298"/>
      <c r="E23" s="148" t="str">
        <f t="shared" si="0"/>
        <v/>
      </c>
      <c r="F23" s="128" t="str">
        <f t="shared" si="1"/>
        <v/>
      </c>
      <c r="G23" s="282"/>
      <c r="H23" s="282"/>
      <c r="I23" s="129" t="str">
        <f t="shared" si="4"/>
        <v xml:space="preserve"> </v>
      </c>
      <c r="Z23" s="280" t="str">
        <f t="shared" si="2"/>
        <v/>
      </c>
    </row>
    <row r="24" spans="2:26" ht="15" customHeight="1" x14ac:dyDescent="0.25">
      <c r="B24" s="128">
        <v>16</v>
      </c>
      <c r="C24" s="128"/>
      <c r="D24" s="131" t="s">
        <v>405</v>
      </c>
      <c r="E24" s="149"/>
      <c r="F24" s="132"/>
      <c r="G24" s="130"/>
      <c r="H24" s="130"/>
      <c r="I24" s="129">
        <f t="shared" si="4"/>
        <v>0</v>
      </c>
    </row>
    <row r="25" spans="2:26" ht="15" customHeight="1" x14ac:dyDescent="0.25">
      <c r="B25" s="128">
        <v>17</v>
      </c>
      <c r="C25" s="128"/>
      <c r="D25" s="131"/>
      <c r="E25" s="149"/>
      <c r="F25" s="132"/>
      <c r="G25" s="130"/>
      <c r="H25" s="130"/>
      <c r="I25" s="129">
        <f t="shared" si="4"/>
        <v>0</v>
      </c>
    </row>
    <row r="26" spans="2:26" ht="15" customHeight="1" x14ac:dyDescent="0.25">
      <c r="B26" s="128">
        <v>18</v>
      </c>
      <c r="C26" s="128"/>
      <c r="D26" s="131"/>
      <c r="E26" s="149"/>
      <c r="F26" s="132"/>
      <c r="G26" s="130"/>
      <c r="H26" s="130"/>
      <c r="I26" s="129">
        <f t="shared" si="4"/>
        <v>0</v>
      </c>
    </row>
    <row r="27" spans="2:26" ht="15" customHeight="1" x14ac:dyDescent="0.25">
      <c r="B27" s="128">
        <v>19</v>
      </c>
      <c r="C27" s="128"/>
      <c r="D27" s="131"/>
      <c r="E27" s="149"/>
      <c r="F27" s="132"/>
      <c r="G27" s="130"/>
      <c r="H27" s="130"/>
      <c r="I27" s="129">
        <f t="shared" si="4"/>
        <v>0</v>
      </c>
    </row>
    <row r="28" spans="2:26" ht="15" customHeight="1" x14ac:dyDescent="0.25">
      <c r="B28" s="128">
        <v>20</v>
      </c>
      <c r="C28" s="128"/>
      <c r="D28" s="131"/>
      <c r="E28" s="149"/>
      <c r="F28" s="132"/>
      <c r="G28" s="130"/>
      <c r="H28" s="130"/>
      <c r="I28" s="129">
        <f t="shared" si="4"/>
        <v>0</v>
      </c>
    </row>
    <row r="29" spans="2:26" ht="15" customHeight="1" x14ac:dyDescent="0.25">
      <c r="F29" s="133" t="s">
        <v>457</v>
      </c>
      <c r="G29" s="134">
        <f>SUM(G9:G28)</f>
        <v>0</v>
      </c>
      <c r="H29" s="134">
        <f>SUM(H9:H28)</f>
        <v>0</v>
      </c>
      <c r="I29" s="134"/>
    </row>
    <row r="30" spans="2:26" ht="15" customHeight="1" x14ac:dyDescent="0.25">
      <c r="G30" s="134"/>
      <c r="H30" s="133" t="s">
        <v>452</v>
      </c>
      <c r="I30" s="134">
        <f>SUM(I9:I28)</f>
        <v>0</v>
      </c>
    </row>
    <row r="32" spans="2:26" ht="48" customHeight="1" x14ac:dyDescent="0.25">
      <c r="B32" s="551" t="s">
        <v>468</v>
      </c>
      <c r="C32" s="551"/>
      <c r="D32" s="551"/>
      <c r="E32" s="551"/>
      <c r="F32" s="551"/>
      <c r="G32" s="551"/>
      <c r="H32" s="551"/>
      <c r="I32" s="551"/>
    </row>
    <row r="33" spans="2:26" x14ac:dyDescent="0.25">
      <c r="B33" s="135"/>
      <c r="D33" s="120"/>
      <c r="F33" s="120"/>
      <c r="G33" s="120"/>
      <c r="H33" s="120"/>
      <c r="I33" s="120"/>
    </row>
    <row r="34" spans="2:26" ht="22.8" x14ac:dyDescent="0.25">
      <c r="B34" s="126" t="s">
        <v>349</v>
      </c>
      <c r="C34" s="126" t="s">
        <v>350</v>
      </c>
      <c r="D34" s="126" t="s">
        <v>351</v>
      </c>
      <c r="E34" s="126" t="s">
        <v>448</v>
      </c>
      <c r="F34" s="126" t="s">
        <v>352</v>
      </c>
      <c r="G34" s="126" t="s">
        <v>472</v>
      </c>
      <c r="H34" s="126" t="s">
        <v>473</v>
      </c>
      <c r="I34" s="127" t="s">
        <v>325</v>
      </c>
    </row>
    <row r="35" spans="2:26" ht="15" customHeight="1" x14ac:dyDescent="0.25">
      <c r="B35" s="128">
        <v>1</v>
      </c>
      <c r="C35" s="128" t="str">
        <f t="shared" ref="C35:C49" si="5">IFERROR(INDEX($E$170:$E$254,MATCH(D35,$D$170:$D$254,0)),"")</f>
        <v/>
      </c>
      <c r="D35" s="298"/>
      <c r="E35" s="148" t="str">
        <f t="shared" ref="E35:E49" si="6">IFERROR(INDEX($G$170:$G$254,MATCH(D35,$D$170:$D$254,0)),"")</f>
        <v/>
      </c>
      <c r="F35" s="128" t="str">
        <f t="shared" ref="F35:F49" si="7">IFERROR(INDEX($F$170:$F$254,MATCH(D35,$D$170:$D$254,0)),"")</f>
        <v/>
      </c>
      <c r="G35" s="282"/>
      <c r="H35" s="282"/>
      <c r="I35" s="129" t="str">
        <f t="shared" ref="I35:I54" si="8">IFERROR((+G35*E35)+(H35*E35)," ")</f>
        <v xml:space="preserve"> </v>
      </c>
      <c r="W35" s="285"/>
      <c r="Y35" s="286">
        <f>IF(Z35="animali","compila &gt;",)</f>
        <v>0</v>
      </c>
      <c r="Z35" s="280" t="str">
        <f t="shared" ref="Z35:Z49" si="9">IFERROR(INDEX($C$170:$C$254,MATCH(D35,$D$170:$D$254,0)),"")</f>
        <v/>
      </c>
    </row>
    <row r="36" spans="2:26" ht="15" customHeight="1" x14ac:dyDescent="0.25">
      <c r="B36" s="128">
        <v>2</v>
      </c>
      <c r="C36" s="128" t="str">
        <f t="shared" si="5"/>
        <v/>
      </c>
      <c r="D36" s="298"/>
      <c r="E36" s="148" t="str">
        <f t="shared" si="6"/>
        <v/>
      </c>
      <c r="F36" s="128" t="str">
        <f t="shared" si="7"/>
        <v/>
      </c>
      <c r="G36" s="282"/>
      <c r="H36" s="282"/>
      <c r="I36" s="129" t="str">
        <f t="shared" si="8"/>
        <v xml:space="preserve"> </v>
      </c>
      <c r="W36" s="285" t="str">
        <f t="shared" ref="W36:W49" si="10">IF(Z36="colture",G36,"compila &gt;")</f>
        <v>compila &gt;</v>
      </c>
      <c r="Y36" s="286">
        <f t="shared" ref="Y36:Y49" si="11">IF(Z36="animali","compila &gt;",)</f>
        <v>0</v>
      </c>
      <c r="Z36" s="280" t="str">
        <f t="shared" si="9"/>
        <v/>
      </c>
    </row>
    <row r="37" spans="2:26" ht="15" customHeight="1" x14ac:dyDescent="0.25">
      <c r="B37" s="128">
        <v>3</v>
      </c>
      <c r="C37" s="128" t="str">
        <f t="shared" si="5"/>
        <v/>
      </c>
      <c r="D37" s="298"/>
      <c r="E37" s="148" t="str">
        <f t="shared" si="6"/>
        <v/>
      </c>
      <c r="F37" s="128" t="str">
        <f t="shared" si="7"/>
        <v/>
      </c>
      <c r="G37" s="282"/>
      <c r="H37" s="282"/>
      <c r="I37" s="129" t="str">
        <f t="shared" si="8"/>
        <v xml:space="preserve"> </v>
      </c>
      <c r="W37" s="285" t="str">
        <f t="shared" si="10"/>
        <v>compila &gt;</v>
      </c>
      <c r="Y37" s="286">
        <f t="shared" si="11"/>
        <v>0</v>
      </c>
      <c r="Z37" s="280" t="str">
        <f t="shared" si="9"/>
        <v/>
      </c>
    </row>
    <row r="38" spans="2:26" ht="15" customHeight="1" x14ac:dyDescent="0.25">
      <c r="B38" s="128">
        <v>4</v>
      </c>
      <c r="C38" s="128" t="str">
        <f t="shared" si="5"/>
        <v/>
      </c>
      <c r="D38" s="298"/>
      <c r="E38" s="148" t="str">
        <f t="shared" si="6"/>
        <v/>
      </c>
      <c r="F38" s="128" t="str">
        <f t="shared" si="7"/>
        <v/>
      </c>
      <c r="G38" s="282"/>
      <c r="H38" s="282"/>
      <c r="I38" s="129" t="str">
        <f t="shared" si="8"/>
        <v xml:space="preserve"> </v>
      </c>
      <c r="W38" s="285" t="str">
        <f t="shared" si="10"/>
        <v>compila &gt;</v>
      </c>
      <c r="Y38" s="286">
        <f t="shared" si="11"/>
        <v>0</v>
      </c>
      <c r="Z38" s="280" t="str">
        <f t="shared" si="9"/>
        <v/>
      </c>
    </row>
    <row r="39" spans="2:26" ht="15" customHeight="1" x14ac:dyDescent="0.25">
      <c r="B39" s="128">
        <v>5</v>
      </c>
      <c r="C39" s="128" t="str">
        <f t="shared" si="5"/>
        <v/>
      </c>
      <c r="D39" s="298"/>
      <c r="E39" s="148" t="str">
        <f t="shared" si="6"/>
        <v/>
      </c>
      <c r="F39" s="128" t="str">
        <f t="shared" si="7"/>
        <v/>
      </c>
      <c r="G39" s="282"/>
      <c r="H39" s="282"/>
      <c r="I39" s="129" t="str">
        <f t="shared" si="8"/>
        <v xml:space="preserve"> </v>
      </c>
      <c r="W39" s="285" t="str">
        <f t="shared" si="10"/>
        <v>compila &gt;</v>
      </c>
      <c r="Y39" s="286">
        <f t="shared" si="11"/>
        <v>0</v>
      </c>
      <c r="Z39" s="280" t="str">
        <f t="shared" si="9"/>
        <v/>
      </c>
    </row>
    <row r="40" spans="2:26" ht="15" customHeight="1" x14ac:dyDescent="0.25">
      <c r="B40" s="128">
        <v>6</v>
      </c>
      <c r="C40" s="128" t="str">
        <f t="shared" si="5"/>
        <v/>
      </c>
      <c r="D40" s="298"/>
      <c r="E40" s="148" t="str">
        <f t="shared" si="6"/>
        <v/>
      </c>
      <c r="F40" s="128" t="str">
        <f t="shared" si="7"/>
        <v/>
      </c>
      <c r="G40" s="282"/>
      <c r="H40" s="282"/>
      <c r="I40" s="129" t="str">
        <f t="shared" si="8"/>
        <v xml:space="preserve"> </v>
      </c>
      <c r="W40" s="285" t="str">
        <f t="shared" si="10"/>
        <v>compila &gt;</v>
      </c>
      <c r="Y40" s="286">
        <f t="shared" si="11"/>
        <v>0</v>
      </c>
      <c r="Z40" s="280" t="str">
        <f t="shared" si="9"/>
        <v/>
      </c>
    </row>
    <row r="41" spans="2:26" ht="15" customHeight="1" x14ac:dyDescent="0.25">
      <c r="B41" s="128">
        <v>7</v>
      </c>
      <c r="C41" s="128" t="str">
        <f t="shared" si="5"/>
        <v/>
      </c>
      <c r="D41" s="298"/>
      <c r="E41" s="148" t="str">
        <f t="shared" si="6"/>
        <v/>
      </c>
      <c r="F41" s="128" t="str">
        <f t="shared" si="7"/>
        <v/>
      </c>
      <c r="G41" s="282"/>
      <c r="H41" s="282"/>
      <c r="I41" s="129" t="str">
        <f t="shared" si="8"/>
        <v xml:space="preserve"> </v>
      </c>
      <c r="W41" s="285" t="str">
        <f t="shared" si="10"/>
        <v>compila &gt;</v>
      </c>
      <c r="Y41" s="286">
        <f t="shared" si="11"/>
        <v>0</v>
      </c>
      <c r="Z41" s="280" t="str">
        <f t="shared" si="9"/>
        <v/>
      </c>
    </row>
    <row r="42" spans="2:26" ht="15" customHeight="1" x14ac:dyDescent="0.25">
      <c r="B42" s="128">
        <v>8</v>
      </c>
      <c r="C42" s="128" t="str">
        <f t="shared" si="5"/>
        <v/>
      </c>
      <c r="D42" s="298"/>
      <c r="E42" s="148" t="str">
        <f t="shared" si="6"/>
        <v/>
      </c>
      <c r="F42" s="128" t="str">
        <f t="shared" si="7"/>
        <v/>
      </c>
      <c r="G42" s="282"/>
      <c r="H42" s="282"/>
      <c r="I42" s="129" t="str">
        <f t="shared" si="8"/>
        <v xml:space="preserve"> </v>
      </c>
      <c r="W42" s="285" t="str">
        <f t="shared" si="10"/>
        <v>compila &gt;</v>
      </c>
      <c r="Y42" s="286">
        <f t="shared" si="11"/>
        <v>0</v>
      </c>
      <c r="Z42" s="280" t="str">
        <f t="shared" si="9"/>
        <v/>
      </c>
    </row>
    <row r="43" spans="2:26" ht="15" customHeight="1" x14ac:dyDescent="0.25">
      <c r="B43" s="128">
        <v>9</v>
      </c>
      <c r="C43" s="128" t="str">
        <f t="shared" si="5"/>
        <v/>
      </c>
      <c r="D43" s="298"/>
      <c r="E43" s="148" t="str">
        <f t="shared" si="6"/>
        <v/>
      </c>
      <c r="F43" s="128" t="str">
        <f t="shared" si="7"/>
        <v/>
      </c>
      <c r="G43" s="282"/>
      <c r="H43" s="282"/>
      <c r="I43" s="129" t="str">
        <f t="shared" si="8"/>
        <v xml:space="preserve"> </v>
      </c>
      <c r="W43" s="285" t="str">
        <f t="shared" si="10"/>
        <v>compila &gt;</v>
      </c>
      <c r="Y43" s="286">
        <f t="shared" si="11"/>
        <v>0</v>
      </c>
      <c r="Z43" s="280" t="str">
        <f t="shared" si="9"/>
        <v/>
      </c>
    </row>
    <row r="44" spans="2:26" ht="15" customHeight="1" x14ac:dyDescent="0.25">
      <c r="B44" s="128">
        <v>10</v>
      </c>
      <c r="C44" s="128" t="str">
        <f t="shared" si="5"/>
        <v/>
      </c>
      <c r="D44" s="298"/>
      <c r="E44" s="148" t="str">
        <f t="shared" si="6"/>
        <v/>
      </c>
      <c r="F44" s="128" t="str">
        <f t="shared" si="7"/>
        <v/>
      </c>
      <c r="G44" s="282"/>
      <c r="H44" s="282"/>
      <c r="I44" s="129" t="str">
        <f t="shared" si="8"/>
        <v xml:space="preserve"> </v>
      </c>
      <c r="W44" s="285" t="str">
        <f t="shared" si="10"/>
        <v>compila &gt;</v>
      </c>
      <c r="Y44" s="286">
        <f t="shared" si="11"/>
        <v>0</v>
      </c>
      <c r="Z44" s="280" t="str">
        <f t="shared" si="9"/>
        <v/>
      </c>
    </row>
    <row r="45" spans="2:26" ht="15" customHeight="1" x14ac:dyDescent="0.25">
      <c r="B45" s="128">
        <v>11</v>
      </c>
      <c r="C45" s="128" t="str">
        <f t="shared" si="5"/>
        <v/>
      </c>
      <c r="D45" s="298"/>
      <c r="E45" s="148" t="str">
        <f t="shared" si="6"/>
        <v/>
      </c>
      <c r="F45" s="128" t="str">
        <f t="shared" si="7"/>
        <v/>
      </c>
      <c r="G45" s="282"/>
      <c r="H45" s="282"/>
      <c r="I45" s="129" t="str">
        <f t="shared" si="8"/>
        <v xml:space="preserve"> </v>
      </c>
      <c r="W45" s="285" t="str">
        <f t="shared" si="10"/>
        <v>compila &gt;</v>
      </c>
      <c r="Y45" s="286">
        <f t="shared" si="11"/>
        <v>0</v>
      </c>
      <c r="Z45" s="280" t="str">
        <f t="shared" si="9"/>
        <v/>
      </c>
    </row>
    <row r="46" spans="2:26" ht="15" customHeight="1" x14ac:dyDescent="0.25">
      <c r="B46" s="128">
        <v>12</v>
      </c>
      <c r="C46" s="128" t="str">
        <f t="shared" si="5"/>
        <v/>
      </c>
      <c r="D46" s="298"/>
      <c r="E46" s="148" t="str">
        <f t="shared" si="6"/>
        <v/>
      </c>
      <c r="F46" s="128" t="str">
        <f t="shared" si="7"/>
        <v/>
      </c>
      <c r="G46" s="282"/>
      <c r="H46" s="282"/>
      <c r="I46" s="129" t="str">
        <f t="shared" si="8"/>
        <v xml:space="preserve"> </v>
      </c>
      <c r="W46" s="285" t="str">
        <f t="shared" si="10"/>
        <v>compila &gt;</v>
      </c>
      <c r="Y46" s="286">
        <f t="shared" si="11"/>
        <v>0</v>
      </c>
      <c r="Z46" s="280" t="str">
        <f t="shared" si="9"/>
        <v/>
      </c>
    </row>
    <row r="47" spans="2:26" ht="15" customHeight="1" x14ac:dyDescent="0.25">
      <c r="B47" s="128">
        <v>13</v>
      </c>
      <c r="C47" s="128" t="str">
        <f t="shared" si="5"/>
        <v/>
      </c>
      <c r="D47" s="298"/>
      <c r="E47" s="148" t="str">
        <f t="shared" si="6"/>
        <v/>
      </c>
      <c r="F47" s="128" t="str">
        <f t="shared" si="7"/>
        <v/>
      </c>
      <c r="G47" s="282"/>
      <c r="H47" s="282"/>
      <c r="I47" s="129" t="str">
        <f t="shared" si="8"/>
        <v xml:space="preserve"> </v>
      </c>
      <c r="W47" s="285" t="str">
        <f t="shared" si="10"/>
        <v>compila &gt;</v>
      </c>
      <c r="Y47" s="286">
        <f t="shared" si="11"/>
        <v>0</v>
      </c>
      <c r="Z47" s="280" t="str">
        <f t="shared" si="9"/>
        <v/>
      </c>
    </row>
    <row r="48" spans="2:26" ht="15" customHeight="1" x14ac:dyDescent="0.25">
      <c r="B48" s="128">
        <v>14</v>
      </c>
      <c r="C48" s="128" t="str">
        <f t="shared" si="5"/>
        <v/>
      </c>
      <c r="D48" s="298"/>
      <c r="E48" s="148" t="str">
        <f t="shared" si="6"/>
        <v/>
      </c>
      <c r="F48" s="128" t="str">
        <f t="shared" si="7"/>
        <v/>
      </c>
      <c r="G48" s="282"/>
      <c r="H48" s="282"/>
      <c r="I48" s="129" t="str">
        <f t="shared" si="8"/>
        <v xml:space="preserve"> </v>
      </c>
      <c r="W48" s="285" t="str">
        <f t="shared" si="10"/>
        <v>compila &gt;</v>
      </c>
      <c r="Y48" s="286">
        <f t="shared" si="11"/>
        <v>0</v>
      </c>
      <c r="Z48" s="280" t="str">
        <f t="shared" si="9"/>
        <v/>
      </c>
    </row>
    <row r="49" spans="2:26" ht="15" customHeight="1" x14ac:dyDescent="0.25">
      <c r="B49" s="128">
        <v>15</v>
      </c>
      <c r="C49" s="128" t="str">
        <f t="shared" si="5"/>
        <v/>
      </c>
      <c r="D49" s="298"/>
      <c r="E49" s="148" t="str">
        <f t="shared" si="6"/>
        <v/>
      </c>
      <c r="F49" s="128" t="str">
        <f t="shared" si="7"/>
        <v/>
      </c>
      <c r="G49" s="282"/>
      <c r="H49" s="282"/>
      <c r="I49" s="129" t="str">
        <f t="shared" si="8"/>
        <v xml:space="preserve"> </v>
      </c>
      <c r="W49" s="285" t="str">
        <f t="shared" si="10"/>
        <v>compila &gt;</v>
      </c>
      <c r="Y49" s="286">
        <f t="shared" si="11"/>
        <v>0</v>
      </c>
      <c r="Z49" s="280" t="str">
        <f t="shared" si="9"/>
        <v/>
      </c>
    </row>
    <row r="50" spans="2:26" ht="15" customHeight="1" x14ac:dyDescent="0.25">
      <c r="B50" s="128">
        <v>16</v>
      </c>
      <c r="C50" s="128"/>
      <c r="D50" s="131" t="s">
        <v>405</v>
      </c>
      <c r="E50" s="150"/>
      <c r="F50" s="132"/>
      <c r="G50" s="130"/>
      <c r="H50" s="130"/>
      <c r="I50" s="129">
        <f t="shared" si="8"/>
        <v>0</v>
      </c>
      <c r="Z50" s="281"/>
    </row>
    <row r="51" spans="2:26" ht="15" customHeight="1" x14ac:dyDescent="0.25">
      <c r="B51" s="128">
        <v>17</v>
      </c>
      <c r="C51" s="128"/>
      <c r="D51" s="131"/>
      <c r="E51" s="150"/>
      <c r="F51" s="132"/>
      <c r="G51" s="130"/>
      <c r="H51" s="130"/>
      <c r="I51" s="129">
        <f t="shared" si="8"/>
        <v>0</v>
      </c>
    </row>
    <row r="52" spans="2:26" ht="15" customHeight="1" x14ac:dyDescent="0.25">
      <c r="B52" s="128">
        <v>18</v>
      </c>
      <c r="C52" s="128"/>
      <c r="D52" s="131"/>
      <c r="E52" s="150"/>
      <c r="F52" s="132"/>
      <c r="G52" s="130"/>
      <c r="H52" s="130"/>
      <c r="I52" s="129">
        <f t="shared" si="8"/>
        <v>0</v>
      </c>
    </row>
    <row r="53" spans="2:26" ht="15" customHeight="1" x14ac:dyDescent="0.25">
      <c r="B53" s="128">
        <v>19</v>
      </c>
      <c r="C53" s="128"/>
      <c r="D53" s="131"/>
      <c r="E53" s="150"/>
      <c r="F53" s="132"/>
      <c r="G53" s="130"/>
      <c r="H53" s="130"/>
      <c r="I53" s="129">
        <f t="shared" si="8"/>
        <v>0</v>
      </c>
    </row>
    <row r="54" spans="2:26" ht="15" customHeight="1" x14ac:dyDescent="0.25">
      <c r="B54" s="128">
        <v>20</v>
      </c>
      <c r="C54" s="128"/>
      <c r="D54" s="131"/>
      <c r="E54" s="150"/>
      <c r="F54" s="132"/>
      <c r="G54" s="130"/>
      <c r="H54" s="130"/>
      <c r="I54" s="129">
        <f t="shared" si="8"/>
        <v>0</v>
      </c>
    </row>
    <row r="55" spans="2:26" ht="15" customHeight="1" x14ac:dyDescent="0.25">
      <c r="D55" s="257" t="str">
        <f>IF(G29=G55," ","TOT ETTARI POST DIFFERENTE DA ANTE")</f>
        <v xml:space="preserve"> </v>
      </c>
      <c r="F55" s="133" t="s">
        <v>456</v>
      </c>
      <c r="G55" s="134">
        <f>SUM(G35:G54)</f>
        <v>0</v>
      </c>
      <c r="H55" s="134">
        <f>SUM(H35:H54)</f>
        <v>0</v>
      </c>
      <c r="I55" s="134"/>
    </row>
    <row r="56" spans="2:26" ht="15" customHeight="1" x14ac:dyDescent="0.25">
      <c r="D56" s="136" t="str">
        <f>IF(G29=0," ",IF(G29=G55,"TOT ETTARI POST COERENTE CON ANTE"," "))</f>
        <v xml:space="preserve"> </v>
      </c>
      <c r="F56" s="140"/>
      <c r="G56" s="134"/>
      <c r="H56" s="133" t="s">
        <v>450</v>
      </c>
      <c r="I56" s="134">
        <f>SUM(I35:I54)</f>
        <v>0</v>
      </c>
    </row>
    <row r="57" spans="2:26" ht="15" customHeight="1" x14ac:dyDescent="0.25">
      <c r="D57" s="136"/>
      <c r="F57" s="553" t="s">
        <v>1229</v>
      </c>
      <c r="G57" s="134"/>
      <c r="H57" s="133"/>
      <c r="I57" s="134"/>
    </row>
    <row r="58" spans="2:26" x14ac:dyDescent="0.25">
      <c r="D58" s="133" t="s">
        <v>953</v>
      </c>
      <c r="E58" s="382">
        <f>+'PAS 3 trasf comm rec terreni'!AL35</f>
        <v>0</v>
      </c>
      <c r="F58" s="553"/>
      <c r="G58" s="471" t="str">
        <f>IFERROR((E58/G55)*100,"0")</f>
        <v>0</v>
      </c>
    </row>
    <row r="59" spans="2:26" x14ac:dyDescent="0.25">
      <c r="D59" s="133"/>
      <c r="E59" s="440"/>
      <c r="F59" s="553"/>
      <c r="G59" s="133"/>
    </row>
    <row r="60" spans="2:26" x14ac:dyDescent="0.25">
      <c r="D60" s="133"/>
      <c r="E60" s="440"/>
      <c r="F60" s="133"/>
      <c r="G60" s="344"/>
    </row>
    <row r="61" spans="2:26" x14ac:dyDescent="0.25">
      <c r="F61" s="133"/>
    </row>
    <row r="62" spans="2:26" x14ac:dyDescent="0.25">
      <c r="D62" s="120" t="s">
        <v>353</v>
      </c>
      <c r="E62" s="120" t="s">
        <v>354</v>
      </c>
      <c r="F62" s="120" t="s">
        <v>439</v>
      </c>
      <c r="I62" s="120" t="s">
        <v>451</v>
      </c>
    </row>
    <row r="63" spans="2:26" x14ac:dyDescent="0.25">
      <c r="B63" s="128"/>
      <c r="C63" s="137" t="s">
        <v>447</v>
      </c>
      <c r="D63" s="128" t="s">
        <v>126</v>
      </c>
      <c r="E63" s="151">
        <v>14000</v>
      </c>
      <c r="F63" s="138">
        <f>IF(C63="x",I56," ")</f>
        <v>0</v>
      </c>
      <c r="I63" s="139">
        <f>ROUNDUP(I56-I30,2)</f>
        <v>0</v>
      </c>
      <c r="K63" s="140"/>
    </row>
    <row r="64" spans="2:26" x14ac:dyDescent="0.25">
      <c r="B64" s="128"/>
      <c r="C64" s="141" t="str">
        <f>IF(C63="x"," ","X")</f>
        <v xml:space="preserve"> </v>
      </c>
      <c r="D64" s="128" t="s">
        <v>355</v>
      </c>
      <c r="E64" s="151">
        <v>18000</v>
      </c>
      <c r="F64" s="142" t="str">
        <f>IF(C64="x",I56," ")</f>
        <v xml:space="preserve"> </v>
      </c>
      <c r="I64" s="139" t="str">
        <f>IFERROR((+I63/I30)*100,"0")</f>
        <v>0</v>
      </c>
      <c r="J64" s="133" t="s">
        <v>1228</v>
      </c>
    </row>
    <row r="65" spans="2:9" x14ac:dyDescent="0.25">
      <c r="B65" s="143"/>
      <c r="F65" s="144"/>
    </row>
    <row r="66" spans="2:9" ht="28.95" customHeight="1" x14ac:dyDescent="0.25">
      <c r="B66" s="546" t="s">
        <v>356</v>
      </c>
      <c r="C66" s="546"/>
      <c r="D66" s="546"/>
      <c r="E66" s="546"/>
      <c r="F66" s="547" t="str">
        <f>IF(F64=0," ",IF(C63="x",IF(F63&gt;E63,"OK, PROSEGUI","PS INFERIORE AL MINIMO PREVISTO DAL BANDO-DOMANDA NON AMMISSIBILE"),(IF(F64&gt;E64,"OK, PROSEGUI","PS INFERIORE AL MINIMO PREVISTO DAL BANDO-DOMANDA NON AMMISSIBILE"))))</f>
        <v>PS INFERIORE AL MINIMO PREVISTO DAL BANDO-DOMANDA NON AMMISSIBILE</v>
      </c>
      <c r="I66" s="120"/>
    </row>
    <row r="67" spans="2:9" ht="28.95" customHeight="1" x14ac:dyDescent="0.25">
      <c r="B67" s="546"/>
      <c r="C67" s="546"/>
      <c r="D67" s="546"/>
      <c r="E67" s="546"/>
      <c r="F67" s="547"/>
      <c r="H67" s="267"/>
      <c r="I67" s="366"/>
    </row>
    <row r="69" spans="2:9" x14ac:dyDescent="0.25">
      <c r="D69" s="545" t="str">
        <f>IF(I56&gt;200000,"DOMANDA NON AMMISSIMILE - PS &gt;200.000 EURO"," ")</f>
        <v xml:space="preserve"> </v>
      </c>
      <c r="E69" s="545"/>
      <c r="F69" s="545"/>
      <c r="G69" s="545"/>
      <c r="H69" s="545"/>
    </row>
    <row r="170" spans="3:8" x14ac:dyDescent="0.25">
      <c r="C170" s="126" t="s">
        <v>474</v>
      </c>
      <c r="D170" s="258" t="s">
        <v>81</v>
      </c>
      <c r="E170" s="259" t="s">
        <v>80</v>
      </c>
      <c r="F170" s="259" t="s">
        <v>358</v>
      </c>
      <c r="G170" s="260">
        <v>3758.0547000000001</v>
      </c>
      <c r="H170" s="260"/>
    </row>
    <row r="171" spans="3:8" x14ac:dyDescent="0.25">
      <c r="C171" s="126" t="s">
        <v>474</v>
      </c>
      <c r="D171" s="258" t="s">
        <v>90</v>
      </c>
      <c r="E171" s="259" t="s">
        <v>89</v>
      </c>
      <c r="F171" s="259" t="s">
        <v>358</v>
      </c>
      <c r="G171" s="260">
        <v>1900</v>
      </c>
      <c r="H171" s="260"/>
    </row>
    <row r="172" spans="3:8" x14ac:dyDescent="0.25">
      <c r="C172" s="126" t="s">
        <v>474</v>
      </c>
      <c r="D172" s="258" t="s">
        <v>51</v>
      </c>
      <c r="E172" s="259" t="s">
        <v>50</v>
      </c>
      <c r="F172" s="259" t="s">
        <v>358</v>
      </c>
      <c r="G172" s="260">
        <v>1021.6</v>
      </c>
      <c r="H172" s="260"/>
    </row>
    <row r="173" spans="3:8" x14ac:dyDescent="0.25">
      <c r="C173" s="126" t="s">
        <v>474</v>
      </c>
      <c r="D173" s="258" t="s">
        <v>46</v>
      </c>
      <c r="E173" s="259" t="s">
        <v>45</v>
      </c>
      <c r="F173" s="259" t="s">
        <v>358</v>
      </c>
      <c r="G173" s="260">
        <v>2560.25</v>
      </c>
      <c r="H173" s="260"/>
    </row>
    <row r="174" spans="3:8" x14ac:dyDescent="0.25">
      <c r="C174" s="126" t="s">
        <v>474</v>
      </c>
      <c r="D174" s="258" t="s">
        <v>54</v>
      </c>
      <c r="E174" s="259" t="s">
        <v>53</v>
      </c>
      <c r="F174" s="259" t="s">
        <v>358</v>
      </c>
      <c r="G174" s="260">
        <v>2056</v>
      </c>
      <c r="H174" s="260"/>
    </row>
    <row r="175" spans="3:8" x14ac:dyDescent="0.25">
      <c r="C175" s="126" t="s">
        <v>474</v>
      </c>
      <c r="D175" s="258" t="s">
        <v>29</v>
      </c>
      <c r="E175" s="259" t="s">
        <v>28</v>
      </c>
      <c r="F175" s="259" t="s">
        <v>358</v>
      </c>
      <c r="G175" s="260">
        <v>1017.7</v>
      </c>
      <c r="H175" s="260"/>
    </row>
    <row r="176" spans="3:8" x14ac:dyDescent="0.25">
      <c r="C176" s="126" t="s">
        <v>474</v>
      </c>
      <c r="D176" s="258" t="s">
        <v>68</v>
      </c>
      <c r="E176" s="259" t="s">
        <v>67</v>
      </c>
      <c r="F176" s="259" t="s">
        <v>358</v>
      </c>
      <c r="G176" s="260">
        <v>1334.25</v>
      </c>
      <c r="H176" s="260"/>
    </row>
    <row r="177" spans="3:8" x14ac:dyDescent="0.25">
      <c r="C177" s="126" t="s">
        <v>474</v>
      </c>
      <c r="D177" s="258" t="s">
        <v>23</v>
      </c>
      <c r="E177" s="259" t="s">
        <v>22</v>
      </c>
      <c r="F177" s="259" t="s">
        <v>358</v>
      </c>
      <c r="G177" s="260">
        <v>503.82249999999999</v>
      </c>
      <c r="H177" s="260"/>
    </row>
    <row r="178" spans="3:8" x14ac:dyDescent="0.25">
      <c r="C178" s="126" t="s">
        <v>474</v>
      </c>
      <c r="D178" s="258" t="s">
        <v>363</v>
      </c>
      <c r="E178" s="259" t="s">
        <v>32</v>
      </c>
      <c r="F178" s="259" t="s">
        <v>358</v>
      </c>
      <c r="G178" s="260">
        <v>2587.7714999999998</v>
      </c>
      <c r="H178" s="260"/>
    </row>
    <row r="179" spans="3:8" x14ac:dyDescent="0.25">
      <c r="C179" s="126" t="s">
        <v>474</v>
      </c>
      <c r="D179" s="258" t="s">
        <v>49</v>
      </c>
      <c r="E179" s="259" t="s">
        <v>48</v>
      </c>
      <c r="F179" s="259" t="s">
        <v>358</v>
      </c>
      <c r="G179" s="260">
        <v>807.5</v>
      </c>
      <c r="H179" s="260"/>
    </row>
    <row r="180" spans="3:8" x14ac:dyDescent="0.25">
      <c r="C180" s="126" t="s">
        <v>474</v>
      </c>
      <c r="D180" s="258" t="s">
        <v>386</v>
      </c>
      <c r="E180" s="259" t="s">
        <v>91</v>
      </c>
      <c r="F180" s="259" t="s">
        <v>358</v>
      </c>
      <c r="G180" s="260">
        <v>25520.6</v>
      </c>
      <c r="H180" s="260"/>
    </row>
    <row r="181" spans="3:8" x14ac:dyDescent="0.25">
      <c r="C181" s="126" t="s">
        <v>474</v>
      </c>
      <c r="D181" s="258" t="s">
        <v>39</v>
      </c>
      <c r="E181" s="259" t="s">
        <v>38</v>
      </c>
      <c r="F181" s="259" t="s">
        <v>358</v>
      </c>
      <c r="G181" s="260">
        <v>596.14800000000002</v>
      </c>
      <c r="H181" s="260"/>
    </row>
    <row r="182" spans="3:8" x14ac:dyDescent="0.25">
      <c r="C182" s="126" t="s">
        <v>474</v>
      </c>
      <c r="D182" s="258" t="s">
        <v>365</v>
      </c>
      <c r="E182" s="259" t="s">
        <v>366</v>
      </c>
      <c r="F182" s="259" t="s">
        <v>358</v>
      </c>
      <c r="G182" s="260">
        <v>1140</v>
      </c>
      <c r="H182" s="260"/>
    </row>
    <row r="183" spans="3:8" x14ac:dyDescent="0.25">
      <c r="C183" s="126" t="s">
        <v>474</v>
      </c>
      <c r="D183" s="258" t="s">
        <v>64</v>
      </c>
      <c r="E183" s="259" t="s">
        <v>63</v>
      </c>
      <c r="F183" s="259" t="s">
        <v>358</v>
      </c>
      <c r="G183" s="260">
        <v>1454.0238999999999</v>
      </c>
      <c r="H183" s="260"/>
    </row>
    <row r="184" spans="3:8" x14ac:dyDescent="0.25">
      <c r="C184" s="126" t="s">
        <v>474</v>
      </c>
      <c r="D184" s="258" t="s">
        <v>62</v>
      </c>
      <c r="E184" s="259" t="s">
        <v>61</v>
      </c>
      <c r="F184" s="259" t="s">
        <v>358</v>
      </c>
      <c r="G184" s="260">
        <v>686.61599999999999</v>
      </c>
      <c r="H184" s="260"/>
    </row>
    <row r="185" spans="3:8" x14ac:dyDescent="0.25">
      <c r="C185" s="126" t="s">
        <v>474</v>
      </c>
      <c r="D185" s="258" t="s">
        <v>373</v>
      </c>
      <c r="E185" s="259" t="s">
        <v>58</v>
      </c>
      <c r="F185" s="259" t="s">
        <v>358</v>
      </c>
      <c r="G185" s="260">
        <v>97873.56</v>
      </c>
      <c r="H185" s="260"/>
    </row>
    <row r="186" spans="3:8" x14ac:dyDescent="0.25">
      <c r="C186" s="126" t="s">
        <v>474</v>
      </c>
      <c r="D186" s="258" t="s">
        <v>374</v>
      </c>
      <c r="E186" s="259" t="s">
        <v>59</v>
      </c>
      <c r="F186" s="259" t="s">
        <v>358</v>
      </c>
      <c r="G186" s="260">
        <v>182625</v>
      </c>
      <c r="H186" s="260"/>
    </row>
    <row r="187" spans="3:8" x14ac:dyDescent="0.25">
      <c r="C187" s="126" t="s">
        <v>474</v>
      </c>
      <c r="D187" s="258" t="s">
        <v>17</v>
      </c>
      <c r="E187" s="259" t="s">
        <v>16</v>
      </c>
      <c r="F187" s="259" t="s">
        <v>358</v>
      </c>
      <c r="G187" s="260">
        <v>1600.7774999999999</v>
      </c>
      <c r="H187" s="260"/>
    </row>
    <row r="188" spans="3:8" x14ac:dyDescent="0.25">
      <c r="C188" s="126" t="s">
        <v>474</v>
      </c>
      <c r="D188" s="258" t="s">
        <v>357</v>
      </c>
      <c r="E188" s="259" t="s">
        <v>15</v>
      </c>
      <c r="F188" s="259" t="s">
        <v>358</v>
      </c>
      <c r="G188" s="260">
        <v>662.21400000000006</v>
      </c>
      <c r="H188" s="260"/>
    </row>
    <row r="189" spans="3:8" x14ac:dyDescent="0.25">
      <c r="C189" s="126" t="s">
        <v>474</v>
      </c>
      <c r="D189" s="258" t="s">
        <v>377</v>
      </c>
      <c r="E189" s="259" t="s">
        <v>76</v>
      </c>
      <c r="F189" s="259" t="s">
        <v>358</v>
      </c>
      <c r="G189" s="260">
        <v>9844.7003999999997</v>
      </c>
      <c r="H189" s="260"/>
    </row>
    <row r="190" spans="3:8" x14ac:dyDescent="0.25">
      <c r="C190" s="126" t="s">
        <v>474</v>
      </c>
      <c r="D190" s="258" t="s">
        <v>376</v>
      </c>
      <c r="E190" s="259" t="s">
        <v>75</v>
      </c>
      <c r="F190" s="259" t="s">
        <v>358</v>
      </c>
      <c r="G190" s="260">
        <v>5485.1091999999999</v>
      </c>
      <c r="H190" s="260"/>
    </row>
    <row r="191" spans="3:8" x14ac:dyDescent="0.25">
      <c r="C191" s="126" t="s">
        <v>474</v>
      </c>
      <c r="D191" s="258" t="s">
        <v>378</v>
      </c>
      <c r="E191" s="259" t="s">
        <v>79</v>
      </c>
      <c r="F191" s="259" t="s">
        <v>358</v>
      </c>
      <c r="G191" s="260">
        <v>1078.2584999999999</v>
      </c>
      <c r="H191" s="260"/>
    </row>
    <row r="192" spans="3:8" x14ac:dyDescent="0.25">
      <c r="C192" s="126" t="s">
        <v>474</v>
      </c>
      <c r="D192" s="258" t="s">
        <v>387</v>
      </c>
      <c r="E192" s="259" t="s">
        <v>92</v>
      </c>
      <c r="F192" s="259" t="s">
        <v>388</v>
      </c>
      <c r="G192" s="260">
        <v>38076</v>
      </c>
      <c r="H192" s="260"/>
    </row>
    <row r="193" spans="3:8" x14ac:dyDescent="0.25">
      <c r="C193" s="126" t="s">
        <v>474</v>
      </c>
      <c r="D193" s="258" t="s">
        <v>41</v>
      </c>
      <c r="E193" s="259" t="s">
        <v>40</v>
      </c>
      <c r="F193" s="259" t="s">
        <v>358</v>
      </c>
      <c r="G193" s="260">
        <v>955.79200000000003</v>
      </c>
      <c r="H193" s="260"/>
    </row>
    <row r="194" spans="3:8" x14ac:dyDescent="0.25">
      <c r="C194" s="126" t="s">
        <v>474</v>
      </c>
      <c r="D194" s="258" t="s">
        <v>359</v>
      </c>
      <c r="E194" s="259" t="s">
        <v>360</v>
      </c>
      <c r="F194" s="259" t="s">
        <v>358</v>
      </c>
      <c r="G194" s="260">
        <v>2130</v>
      </c>
      <c r="H194" s="260"/>
    </row>
    <row r="195" spans="3:8" x14ac:dyDescent="0.25">
      <c r="C195" s="126" t="s">
        <v>474</v>
      </c>
      <c r="D195" s="258" t="s">
        <v>361</v>
      </c>
      <c r="E195" s="259" t="s">
        <v>362</v>
      </c>
      <c r="F195" s="259" t="s">
        <v>358</v>
      </c>
      <c r="G195" s="260">
        <v>2026.674</v>
      </c>
      <c r="H195" s="260"/>
    </row>
    <row r="196" spans="3:8" x14ac:dyDescent="0.25">
      <c r="C196" s="126" t="s">
        <v>474</v>
      </c>
      <c r="D196" s="258" t="s">
        <v>368</v>
      </c>
      <c r="E196" s="259" t="s">
        <v>47</v>
      </c>
      <c r="F196" s="259" t="s">
        <v>358</v>
      </c>
      <c r="G196" s="260">
        <v>1021</v>
      </c>
      <c r="H196" s="260"/>
    </row>
    <row r="197" spans="3:8" x14ac:dyDescent="0.25">
      <c r="C197" s="126" t="s">
        <v>474</v>
      </c>
      <c r="D197" s="258" t="s">
        <v>367</v>
      </c>
      <c r="E197" s="259" t="s">
        <v>44</v>
      </c>
      <c r="F197" s="259" t="s">
        <v>358</v>
      </c>
      <c r="G197" s="260">
        <v>1842.62</v>
      </c>
      <c r="H197" s="260"/>
    </row>
    <row r="198" spans="3:8" x14ac:dyDescent="0.25">
      <c r="C198" s="126" t="s">
        <v>474</v>
      </c>
      <c r="D198" s="258" t="s">
        <v>37</v>
      </c>
      <c r="E198" s="259" t="s">
        <v>36</v>
      </c>
      <c r="F198" s="259" t="s">
        <v>358</v>
      </c>
      <c r="G198" s="260">
        <v>12240</v>
      </c>
      <c r="H198" s="260"/>
    </row>
    <row r="199" spans="3:8" x14ac:dyDescent="0.25">
      <c r="C199" s="126" t="s">
        <v>474</v>
      </c>
      <c r="D199" s="258" t="s">
        <v>25</v>
      </c>
      <c r="E199" s="259" t="s">
        <v>24</v>
      </c>
      <c r="F199" s="259" t="s">
        <v>358</v>
      </c>
      <c r="G199" s="260">
        <v>1014.6</v>
      </c>
      <c r="H199" s="260"/>
    </row>
    <row r="200" spans="3:8" x14ac:dyDescent="0.25">
      <c r="C200" s="126" t="s">
        <v>474</v>
      </c>
      <c r="D200" s="258" t="s">
        <v>380</v>
      </c>
      <c r="E200" s="259" t="s">
        <v>83</v>
      </c>
      <c r="F200" s="259" t="s">
        <v>358</v>
      </c>
      <c r="G200" s="260">
        <v>3396.712</v>
      </c>
      <c r="H200" s="260"/>
    </row>
    <row r="201" spans="3:8" x14ac:dyDescent="0.25">
      <c r="C201" s="126" t="s">
        <v>474</v>
      </c>
      <c r="D201" s="258" t="s">
        <v>379</v>
      </c>
      <c r="E201" s="259" t="s">
        <v>82</v>
      </c>
      <c r="F201" s="259" t="s">
        <v>358</v>
      </c>
      <c r="G201" s="260">
        <v>6108</v>
      </c>
      <c r="H201" s="260"/>
    </row>
    <row r="202" spans="3:8" x14ac:dyDescent="0.25">
      <c r="C202" s="126" t="s">
        <v>474</v>
      </c>
      <c r="D202" s="258" t="s">
        <v>371</v>
      </c>
      <c r="E202" s="259" t="s">
        <v>56</v>
      </c>
      <c r="F202" s="259" t="s">
        <v>358</v>
      </c>
      <c r="G202" s="260">
        <v>18734.576300000001</v>
      </c>
      <c r="H202" s="260"/>
    </row>
    <row r="203" spans="3:8" x14ac:dyDescent="0.25">
      <c r="C203" s="126" t="s">
        <v>474</v>
      </c>
      <c r="D203" s="258" t="s">
        <v>370</v>
      </c>
      <c r="E203" s="259" t="s">
        <v>55</v>
      </c>
      <c r="F203" s="259" t="s">
        <v>358</v>
      </c>
      <c r="G203" s="260">
        <v>13066.8977</v>
      </c>
      <c r="H203" s="260"/>
    </row>
    <row r="204" spans="3:8" x14ac:dyDescent="0.25">
      <c r="C204" s="126" t="s">
        <v>474</v>
      </c>
      <c r="D204" s="258" t="s">
        <v>372</v>
      </c>
      <c r="E204" s="259" t="s">
        <v>57</v>
      </c>
      <c r="F204" s="259" t="s">
        <v>358</v>
      </c>
      <c r="G204" s="260">
        <v>46202.1417</v>
      </c>
      <c r="H204" s="260"/>
    </row>
    <row r="205" spans="3:8" x14ac:dyDescent="0.25">
      <c r="C205" s="126" t="s">
        <v>474</v>
      </c>
      <c r="D205" s="258" t="s">
        <v>21</v>
      </c>
      <c r="E205" s="259" t="s">
        <v>20</v>
      </c>
      <c r="F205" s="259" t="s">
        <v>358</v>
      </c>
      <c r="G205" s="260">
        <v>559.44200000000001</v>
      </c>
      <c r="H205" s="260"/>
    </row>
    <row r="206" spans="3:8" x14ac:dyDescent="0.25">
      <c r="C206" s="126" t="s">
        <v>474</v>
      </c>
      <c r="D206" s="258" t="s">
        <v>74</v>
      </c>
      <c r="E206" s="259" t="s">
        <v>73</v>
      </c>
      <c r="F206" s="259" t="s">
        <v>358</v>
      </c>
      <c r="G206" s="260">
        <v>399.68169999999998</v>
      </c>
      <c r="H206" s="260"/>
    </row>
    <row r="207" spans="3:8" x14ac:dyDescent="0.25">
      <c r="C207" s="126" t="s">
        <v>474</v>
      </c>
      <c r="D207" s="258" t="s">
        <v>31</v>
      </c>
      <c r="E207" s="259" t="s">
        <v>30</v>
      </c>
      <c r="F207" s="259" t="s">
        <v>358</v>
      </c>
      <c r="G207" s="260">
        <v>6202.8119999999999</v>
      </c>
      <c r="H207" s="260"/>
    </row>
    <row r="208" spans="3:8" x14ac:dyDescent="0.25">
      <c r="C208" s="126" t="s">
        <v>474</v>
      </c>
      <c r="D208" s="258" t="s">
        <v>369</v>
      </c>
      <c r="E208" s="259" t="s">
        <v>52</v>
      </c>
      <c r="F208" s="259" t="s">
        <v>358</v>
      </c>
      <c r="G208" s="260">
        <v>25000</v>
      </c>
      <c r="H208" s="260"/>
    </row>
    <row r="209" spans="3:8" x14ac:dyDescent="0.25">
      <c r="C209" s="126" t="s">
        <v>474</v>
      </c>
      <c r="D209" s="258" t="s">
        <v>364</v>
      </c>
      <c r="E209" s="259" t="s">
        <v>33</v>
      </c>
      <c r="F209" s="259" t="s">
        <v>358</v>
      </c>
      <c r="G209" s="260">
        <v>3337.7511</v>
      </c>
      <c r="H209" s="260"/>
    </row>
    <row r="210" spans="3:8" x14ac:dyDescent="0.25">
      <c r="C210" s="126" t="s">
        <v>474</v>
      </c>
      <c r="D210" s="258" t="s">
        <v>78</v>
      </c>
      <c r="E210" s="259" t="s">
        <v>77</v>
      </c>
      <c r="F210" s="259" t="s">
        <v>358</v>
      </c>
      <c r="G210" s="260">
        <v>10776.038200000001</v>
      </c>
      <c r="H210" s="260"/>
    </row>
    <row r="211" spans="3:8" x14ac:dyDescent="0.25">
      <c r="C211" s="126" t="s">
        <v>474</v>
      </c>
      <c r="D211" s="258" t="s">
        <v>853</v>
      </c>
      <c r="E211" s="259" t="s">
        <v>60</v>
      </c>
      <c r="F211" s="259" t="s">
        <v>358</v>
      </c>
      <c r="G211" s="260">
        <v>816.98760000000004</v>
      </c>
      <c r="H211" s="260"/>
    </row>
    <row r="212" spans="3:8" x14ac:dyDescent="0.25">
      <c r="C212" s="126" t="s">
        <v>474</v>
      </c>
      <c r="D212" s="258" t="s">
        <v>854</v>
      </c>
      <c r="E212" s="259" t="s">
        <v>65</v>
      </c>
      <c r="F212" s="259" t="s">
        <v>358</v>
      </c>
      <c r="G212" s="260">
        <v>1154.0445</v>
      </c>
      <c r="H212" s="260"/>
    </row>
    <row r="213" spans="3:8" x14ac:dyDescent="0.25">
      <c r="C213" s="126" t="s">
        <v>474</v>
      </c>
      <c r="D213" s="258" t="s">
        <v>72</v>
      </c>
      <c r="E213" s="259" t="s">
        <v>71</v>
      </c>
      <c r="F213" s="259" t="s">
        <v>358</v>
      </c>
      <c r="G213" s="260">
        <v>973.98</v>
      </c>
      <c r="H213" s="260"/>
    </row>
    <row r="214" spans="3:8" x14ac:dyDescent="0.25">
      <c r="C214" s="126" t="s">
        <v>474</v>
      </c>
      <c r="D214" s="258" t="s">
        <v>27</v>
      </c>
      <c r="E214" s="259" t="s">
        <v>26</v>
      </c>
      <c r="F214" s="259" t="s">
        <v>358</v>
      </c>
      <c r="G214" s="260">
        <v>1500</v>
      </c>
      <c r="H214" s="260"/>
    </row>
    <row r="215" spans="3:8" x14ac:dyDescent="0.25">
      <c r="C215" s="126" t="s">
        <v>474</v>
      </c>
      <c r="D215" s="258" t="s">
        <v>19</v>
      </c>
      <c r="E215" s="259" t="s">
        <v>18</v>
      </c>
      <c r="F215" s="259" t="s">
        <v>358</v>
      </c>
      <c r="G215" s="260">
        <v>709.48900000000003</v>
      </c>
      <c r="H215" s="260"/>
    </row>
    <row r="216" spans="3:8" x14ac:dyDescent="0.25">
      <c r="C216" s="126" t="s">
        <v>474</v>
      </c>
      <c r="D216" s="258" t="s">
        <v>375</v>
      </c>
      <c r="E216" s="259" t="s">
        <v>66</v>
      </c>
      <c r="F216" s="259" t="s">
        <v>358</v>
      </c>
      <c r="G216" s="260">
        <v>5400</v>
      </c>
      <c r="H216" s="260"/>
    </row>
    <row r="217" spans="3:8" x14ac:dyDescent="0.25">
      <c r="C217" s="126" t="s">
        <v>474</v>
      </c>
      <c r="D217" s="258" t="s">
        <v>43</v>
      </c>
      <c r="E217" s="259" t="s">
        <v>42</v>
      </c>
      <c r="F217" s="259" t="s">
        <v>358</v>
      </c>
      <c r="G217" s="260">
        <v>936.37429999999995</v>
      </c>
      <c r="H217" s="260"/>
    </row>
    <row r="218" spans="3:8" x14ac:dyDescent="0.25">
      <c r="C218" s="126" t="s">
        <v>474</v>
      </c>
      <c r="D218" s="258" t="s">
        <v>35</v>
      </c>
      <c r="E218" s="259" t="s">
        <v>34</v>
      </c>
      <c r="F218" s="259" t="s">
        <v>358</v>
      </c>
      <c r="G218" s="260">
        <v>8200.9151000000002</v>
      </c>
      <c r="H218" s="260"/>
    </row>
    <row r="219" spans="3:8" x14ac:dyDescent="0.25">
      <c r="C219" s="126" t="s">
        <v>474</v>
      </c>
      <c r="D219" s="258" t="s">
        <v>70</v>
      </c>
      <c r="E219" s="259" t="s">
        <v>69</v>
      </c>
      <c r="F219" s="259" t="s">
        <v>358</v>
      </c>
      <c r="G219" s="260">
        <v>0</v>
      </c>
      <c r="H219" s="260"/>
    </row>
    <row r="220" spans="3:8" x14ac:dyDescent="0.25">
      <c r="C220" s="126" t="s">
        <v>474</v>
      </c>
      <c r="D220" s="258" t="s">
        <v>384</v>
      </c>
      <c r="E220" s="259" t="s">
        <v>87</v>
      </c>
      <c r="F220" s="259" t="s">
        <v>358</v>
      </c>
      <c r="G220" s="260">
        <v>11560</v>
      </c>
      <c r="H220" s="260"/>
    </row>
    <row r="221" spans="3:8" x14ac:dyDescent="0.25">
      <c r="C221" s="126" t="s">
        <v>474</v>
      </c>
      <c r="D221" s="258" t="s">
        <v>383</v>
      </c>
      <c r="E221" s="259" t="s">
        <v>86</v>
      </c>
      <c r="F221" s="259" t="s">
        <v>358</v>
      </c>
      <c r="G221" s="260">
        <v>3096</v>
      </c>
      <c r="H221" s="260"/>
    </row>
    <row r="222" spans="3:8" x14ac:dyDescent="0.25">
      <c r="C222" s="126" t="s">
        <v>474</v>
      </c>
      <c r="D222" s="258" t="s">
        <v>382</v>
      </c>
      <c r="E222" s="259" t="s">
        <v>85</v>
      </c>
      <c r="F222" s="259" t="s">
        <v>358</v>
      </c>
      <c r="G222" s="260">
        <v>7304.03</v>
      </c>
      <c r="H222" s="260"/>
    </row>
    <row r="223" spans="3:8" x14ac:dyDescent="0.25">
      <c r="C223" s="126" t="s">
        <v>474</v>
      </c>
      <c r="D223" s="258" t="s">
        <v>381</v>
      </c>
      <c r="E223" s="259" t="s">
        <v>84</v>
      </c>
      <c r="F223" s="259" t="s">
        <v>358</v>
      </c>
      <c r="G223" s="260">
        <v>11637.6</v>
      </c>
      <c r="H223" s="260"/>
    </row>
    <row r="224" spans="3:8" x14ac:dyDescent="0.25">
      <c r="C224" s="126" t="s">
        <v>474</v>
      </c>
      <c r="D224" s="258" t="s">
        <v>385</v>
      </c>
      <c r="E224" s="259" t="s">
        <v>88</v>
      </c>
      <c r="F224" s="259" t="s">
        <v>358</v>
      </c>
      <c r="G224" s="260">
        <v>48239.050999999999</v>
      </c>
      <c r="H224" s="260"/>
    </row>
    <row r="225" spans="3:8" x14ac:dyDescent="0.25">
      <c r="C225" s="126" t="s">
        <v>474</v>
      </c>
      <c r="D225" s="258" t="s">
        <v>104</v>
      </c>
      <c r="E225" s="259" t="s">
        <v>103</v>
      </c>
      <c r="F225" s="259" t="s">
        <v>390</v>
      </c>
      <c r="G225" s="260">
        <v>786.98239999999998</v>
      </c>
      <c r="H225" s="260"/>
    </row>
    <row r="226" spans="3:8" x14ac:dyDescent="0.25">
      <c r="C226" s="126" t="s">
        <v>474</v>
      </c>
      <c r="D226" s="258" t="s">
        <v>122</v>
      </c>
      <c r="E226" s="259" t="s">
        <v>121</v>
      </c>
      <c r="F226" s="259" t="s">
        <v>400</v>
      </c>
      <c r="G226" s="260">
        <v>1117.4000000000001</v>
      </c>
      <c r="H226" s="260"/>
    </row>
    <row r="227" spans="3:8" x14ac:dyDescent="0.25">
      <c r="C227" s="126" t="s">
        <v>474</v>
      </c>
      <c r="D227" s="258" t="s">
        <v>402</v>
      </c>
      <c r="E227" s="259" t="s">
        <v>118</v>
      </c>
      <c r="F227" s="259" t="s">
        <v>400</v>
      </c>
      <c r="G227" s="260">
        <v>1985.65</v>
      </c>
      <c r="H227" s="260"/>
    </row>
    <row r="228" spans="3:8" x14ac:dyDescent="0.25">
      <c r="C228" s="126" t="s">
        <v>469</v>
      </c>
      <c r="D228" s="258" t="s">
        <v>125</v>
      </c>
      <c r="E228" s="259" t="s">
        <v>124</v>
      </c>
      <c r="F228" s="259" t="s">
        <v>404</v>
      </c>
      <c r="G228" s="260">
        <v>264.38529999999997</v>
      </c>
      <c r="H228" s="260"/>
    </row>
    <row r="229" spans="3:8" x14ac:dyDescent="0.25">
      <c r="C229" s="126" t="s">
        <v>469</v>
      </c>
      <c r="D229" s="258" t="s">
        <v>98</v>
      </c>
      <c r="E229" s="259" t="s">
        <v>97</v>
      </c>
      <c r="F229" s="259" t="s">
        <v>390</v>
      </c>
      <c r="G229" s="260">
        <v>506.34359999999998</v>
      </c>
      <c r="H229" s="260"/>
    </row>
    <row r="230" spans="3:8" x14ac:dyDescent="0.25">
      <c r="C230" s="126" t="s">
        <v>469</v>
      </c>
      <c r="D230" s="258" t="s">
        <v>96</v>
      </c>
      <c r="E230" s="259" t="s">
        <v>95</v>
      </c>
      <c r="F230" s="259" t="s">
        <v>390</v>
      </c>
      <c r="G230" s="260">
        <v>634.79729999999995</v>
      </c>
      <c r="H230" s="260"/>
    </row>
    <row r="231" spans="3:8" x14ac:dyDescent="0.25">
      <c r="C231" s="126" t="s">
        <v>469</v>
      </c>
      <c r="D231" s="258" t="s">
        <v>391</v>
      </c>
      <c r="E231" s="259" t="s">
        <v>94</v>
      </c>
      <c r="F231" s="259" t="s">
        <v>390</v>
      </c>
      <c r="G231" s="260">
        <v>1092.9947999999999</v>
      </c>
      <c r="H231" s="260"/>
    </row>
    <row r="232" spans="3:8" x14ac:dyDescent="0.25">
      <c r="C232" s="126" t="s">
        <v>469</v>
      </c>
      <c r="D232" s="258" t="s">
        <v>392</v>
      </c>
      <c r="E232" s="259" t="s">
        <v>99</v>
      </c>
      <c r="F232" s="259" t="s">
        <v>390</v>
      </c>
      <c r="G232" s="260">
        <v>414.53949999999998</v>
      </c>
      <c r="H232" s="260"/>
    </row>
    <row r="233" spans="3:8" x14ac:dyDescent="0.25">
      <c r="C233" s="126" t="s">
        <v>469</v>
      </c>
      <c r="D233" s="258" t="s">
        <v>109</v>
      </c>
      <c r="E233" s="259" t="s">
        <v>108</v>
      </c>
      <c r="F233" s="259" t="s">
        <v>390</v>
      </c>
      <c r="G233" s="260">
        <v>347.68</v>
      </c>
      <c r="H233" s="260"/>
    </row>
    <row r="234" spans="3:8" x14ac:dyDescent="0.25">
      <c r="C234" s="126" t="s">
        <v>469</v>
      </c>
      <c r="D234" s="258" t="s">
        <v>395</v>
      </c>
      <c r="E234" s="259" t="s">
        <v>110</v>
      </c>
      <c r="F234" s="259" t="s">
        <v>390</v>
      </c>
      <c r="G234" s="260">
        <v>115.566</v>
      </c>
      <c r="H234" s="260"/>
    </row>
    <row r="235" spans="3:8" x14ac:dyDescent="0.25">
      <c r="C235" s="126" t="s">
        <v>469</v>
      </c>
      <c r="D235" s="258" t="s">
        <v>403</v>
      </c>
      <c r="E235" s="259" t="s">
        <v>123</v>
      </c>
      <c r="F235" s="259" t="s">
        <v>390</v>
      </c>
      <c r="G235" s="260">
        <v>60.2577</v>
      </c>
      <c r="H235" s="260"/>
    </row>
    <row r="236" spans="3:8" x14ac:dyDescent="0.25">
      <c r="C236" s="126" t="s">
        <v>469</v>
      </c>
      <c r="D236" s="258" t="s">
        <v>389</v>
      </c>
      <c r="E236" s="259" t="s">
        <v>93</v>
      </c>
      <c r="F236" s="259" t="s">
        <v>390</v>
      </c>
      <c r="G236" s="260">
        <v>688.57979999999998</v>
      </c>
      <c r="H236" s="260"/>
    </row>
    <row r="237" spans="3:8" x14ac:dyDescent="0.25">
      <c r="C237" s="126" t="s">
        <v>469</v>
      </c>
      <c r="D237" s="258" t="s">
        <v>401</v>
      </c>
      <c r="E237" s="259" t="s">
        <v>115</v>
      </c>
      <c r="F237" s="259" t="s">
        <v>400</v>
      </c>
      <c r="G237" s="260">
        <v>3374.88</v>
      </c>
      <c r="H237" s="260"/>
    </row>
    <row r="238" spans="3:8" x14ac:dyDescent="0.25">
      <c r="C238" s="126" t="s">
        <v>469</v>
      </c>
      <c r="D238" s="258" t="s">
        <v>101</v>
      </c>
      <c r="E238" s="259" t="s">
        <v>100</v>
      </c>
      <c r="F238" s="259" t="s">
        <v>390</v>
      </c>
      <c r="G238" s="260">
        <v>486.9581</v>
      </c>
      <c r="H238" s="260"/>
    </row>
    <row r="239" spans="3:8" x14ac:dyDescent="0.25">
      <c r="C239" s="126" t="s">
        <v>469</v>
      </c>
      <c r="D239" s="258" t="s">
        <v>394</v>
      </c>
      <c r="E239" s="259" t="s">
        <v>107</v>
      </c>
      <c r="F239" s="259" t="s">
        <v>390</v>
      </c>
      <c r="G239" s="260">
        <v>266.32499999999999</v>
      </c>
      <c r="H239" s="260"/>
    </row>
    <row r="240" spans="3:8" x14ac:dyDescent="0.25">
      <c r="C240" s="126" t="s">
        <v>469</v>
      </c>
      <c r="D240" s="258" t="s">
        <v>106</v>
      </c>
      <c r="E240" s="259" t="s">
        <v>105</v>
      </c>
      <c r="F240" s="259" t="s">
        <v>390</v>
      </c>
      <c r="G240" s="260">
        <v>229.9333</v>
      </c>
      <c r="H240" s="260"/>
    </row>
    <row r="241" spans="3:8" x14ac:dyDescent="0.25">
      <c r="C241" s="126" t="s">
        <v>469</v>
      </c>
      <c r="D241" s="258" t="s">
        <v>399</v>
      </c>
      <c r="E241" s="259" t="s">
        <v>114</v>
      </c>
      <c r="F241" s="259" t="s">
        <v>400</v>
      </c>
      <c r="G241" s="260">
        <v>2042.15</v>
      </c>
      <c r="H241" s="260"/>
    </row>
    <row r="242" spans="3:8" x14ac:dyDescent="0.25">
      <c r="C242" s="126" t="s">
        <v>469</v>
      </c>
      <c r="D242" s="258" t="s">
        <v>120</v>
      </c>
      <c r="E242" s="259" t="s">
        <v>119</v>
      </c>
      <c r="F242" s="259" t="s">
        <v>400</v>
      </c>
      <c r="G242" s="260">
        <v>1117.4000000000001</v>
      </c>
      <c r="H242" s="260"/>
    </row>
    <row r="243" spans="3:8" x14ac:dyDescent="0.25">
      <c r="C243" s="126" t="s">
        <v>469</v>
      </c>
      <c r="D243" s="258" t="s">
        <v>398</v>
      </c>
      <c r="E243" s="259" t="s">
        <v>113</v>
      </c>
      <c r="F243" s="259" t="s">
        <v>390</v>
      </c>
      <c r="G243" s="260">
        <v>609.73739999999998</v>
      </c>
      <c r="H243" s="260"/>
    </row>
    <row r="244" spans="3:8" x14ac:dyDescent="0.25">
      <c r="C244" s="126" t="s">
        <v>469</v>
      </c>
      <c r="D244" s="258" t="s">
        <v>396</v>
      </c>
      <c r="E244" s="259" t="s">
        <v>111</v>
      </c>
      <c r="F244" s="259" t="s">
        <v>390</v>
      </c>
      <c r="G244" s="260">
        <v>325.82600000000002</v>
      </c>
      <c r="H244" s="260"/>
    </row>
    <row r="245" spans="3:8" x14ac:dyDescent="0.25">
      <c r="C245" s="126" t="s">
        <v>469</v>
      </c>
      <c r="D245" s="258" t="s">
        <v>397</v>
      </c>
      <c r="E245" s="259" t="s">
        <v>112</v>
      </c>
      <c r="F245" s="259" t="s">
        <v>390</v>
      </c>
      <c r="G245" s="260">
        <v>1811.4217000000001</v>
      </c>
      <c r="H245" s="260"/>
    </row>
    <row r="246" spans="3:8" x14ac:dyDescent="0.25">
      <c r="C246" s="126" t="s">
        <v>469</v>
      </c>
      <c r="D246" s="258" t="s">
        <v>117</v>
      </c>
      <c r="E246" s="259" t="s">
        <v>116</v>
      </c>
      <c r="F246" s="259" t="s">
        <v>400</v>
      </c>
      <c r="G246" s="260">
        <v>5845.9650000000001</v>
      </c>
      <c r="H246" s="260"/>
    </row>
    <row r="247" spans="3:8" x14ac:dyDescent="0.25">
      <c r="C247" s="126" t="s">
        <v>469</v>
      </c>
      <c r="D247" s="258" t="s">
        <v>393</v>
      </c>
      <c r="E247" s="259" t="s">
        <v>102</v>
      </c>
      <c r="F247" s="259" t="s">
        <v>390</v>
      </c>
      <c r="G247" s="260">
        <v>2670.5963999999999</v>
      </c>
      <c r="H247" s="260"/>
    </row>
    <row r="248" spans="3:8" x14ac:dyDescent="0.25">
      <c r="C248" s="126" t="s">
        <v>474</v>
      </c>
      <c r="D248" s="261" t="s">
        <v>276</v>
      </c>
      <c r="E248" s="262" t="s">
        <v>258</v>
      </c>
      <c r="F248" s="263" t="s">
        <v>358</v>
      </c>
      <c r="G248" s="264">
        <v>70681</v>
      </c>
      <c r="H248" s="264"/>
    </row>
    <row r="249" spans="3:8" x14ac:dyDescent="0.25">
      <c r="C249" s="126" t="s">
        <v>474</v>
      </c>
      <c r="D249" s="261" t="s">
        <v>275</v>
      </c>
      <c r="E249" s="262" t="s">
        <v>257</v>
      </c>
      <c r="F249" s="263" t="s">
        <v>358</v>
      </c>
      <c r="G249" s="264">
        <v>146670</v>
      </c>
      <c r="H249" s="264"/>
    </row>
    <row r="250" spans="3:8" x14ac:dyDescent="0.2">
      <c r="C250" s="126" t="s">
        <v>469</v>
      </c>
      <c r="D250" s="261" t="s">
        <v>324</v>
      </c>
      <c r="E250" s="262" t="s">
        <v>323</v>
      </c>
      <c r="F250" s="263" t="s">
        <v>358</v>
      </c>
      <c r="G250" s="265">
        <v>45000</v>
      </c>
      <c r="H250" s="265"/>
    </row>
    <row r="251" spans="3:8" x14ac:dyDescent="0.25">
      <c r="C251" s="126" t="s">
        <v>474</v>
      </c>
      <c r="D251" s="261" t="s">
        <v>305</v>
      </c>
      <c r="E251" s="262" t="s">
        <v>277</v>
      </c>
      <c r="F251" s="263" t="s">
        <v>358</v>
      </c>
      <c r="G251" s="264">
        <v>3262</v>
      </c>
      <c r="H251" s="264"/>
    </row>
    <row r="252" spans="3:8" x14ac:dyDescent="0.25">
      <c r="C252" s="126" t="s">
        <v>474</v>
      </c>
      <c r="D252" s="261" t="s">
        <v>304</v>
      </c>
      <c r="E252" s="262" t="s">
        <v>259</v>
      </c>
      <c r="F252" s="263" t="s">
        <v>358</v>
      </c>
      <c r="G252" s="264">
        <v>5165</v>
      </c>
      <c r="H252" s="264"/>
    </row>
    <row r="253" spans="3:8" x14ac:dyDescent="0.25">
      <c r="C253" s="126" t="s">
        <v>469</v>
      </c>
      <c r="D253" s="261" t="s">
        <v>278</v>
      </c>
      <c r="E253" s="262" t="s">
        <v>286</v>
      </c>
      <c r="F253" s="263" t="s">
        <v>390</v>
      </c>
      <c r="G253" s="264">
        <v>420.34314000000001</v>
      </c>
      <c r="H253" s="264"/>
    </row>
    <row r="254" spans="3:8" x14ac:dyDescent="0.25">
      <c r="C254" s="126" t="s">
        <v>474</v>
      </c>
      <c r="D254" s="261" t="s">
        <v>322</v>
      </c>
      <c r="E254" s="262" t="s">
        <v>321</v>
      </c>
      <c r="F254" s="263" t="s">
        <v>358</v>
      </c>
      <c r="G254" s="264">
        <v>30000</v>
      </c>
      <c r="H254" s="264"/>
    </row>
  </sheetData>
  <sheetProtection algorithmName="SHA-512" hashValue="n4TjaSXTqzJpEdtFd0BSfx61V+2Z2JwOULo6H0CXyA3P7rrrvrFdIGgVdSet5uIN41vojBBSg//DSWqNlMT3XQ==" saltValue="B5jS9GJ7yK/87atDbe5ZkA==" spinCount="100000" sheet="1" formatCells="0" formatColumns="0" formatRows="0" insertColumns="0" insertRows="0" insertHyperlinks="0" deleteColumns="0" deleteRows="0" sort="0" autoFilter="0" pivotTables="0"/>
  <mergeCells count="9">
    <mergeCell ref="D69:H69"/>
    <mergeCell ref="B66:E67"/>
    <mergeCell ref="F66:F67"/>
    <mergeCell ref="D2:E2"/>
    <mergeCell ref="G2:I2"/>
    <mergeCell ref="B5:I5"/>
    <mergeCell ref="B32:I32"/>
    <mergeCell ref="B6:E6"/>
    <mergeCell ref="F57:F59"/>
  </mergeCells>
  <conditionalFormatting sqref="F66:F67">
    <cfRule type="cellIs" dxfId="78" priority="5" stopIfTrue="1" operator="equal">
      <formula>"PS INFERIORE AL MINIMO PREVISTO DAL BANDO-DOMANDA NON AMMISSIBILE"</formula>
    </cfRule>
    <cfRule type="cellIs" dxfId="77" priority="34" stopIfTrue="1" operator="equal">
      <formula>"OK, PROSEGUI"</formula>
    </cfRule>
  </conditionalFormatting>
  <conditionalFormatting sqref="I63:I64">
    <cfRule type="cellIs" dxfId="76" priority="31" operator="equal">
      <formula>0</formula>
    </cfRule>
    <cfRule type="cellIs" dxfId="75" priority="33" operator="lessThan">
      <formula>1</formula>
    </cfRule>
  </conditionalFormatting>
  <conditionalFormatting sqref="G29:I30">
    <cfRule type="cellIs" dxfId="74" priority="28" operator="equal">
      <formula>0</formula>
    </cfRule>
  </conditionalFormatting>
  <conditionalFormatting sqref="G55:I57">
    <cfRule type="cellIs" dxfId="73" priority="27" operator="equal">
      <formula>0</formula>
    </cfRule>
  </conditionalFormatting>
  <conditionalFormatting sqref="F64">
    <cfRule type="cellIs" dxfId="72" priority="26" operator="equal">
      <formula>0</formula>
    </cfRule>
  </conditionalFormatting>
  <conditionalFormatting sqref="I6">
    <cfRule type="cellIs" dxfId="71" priority="23" stopIfTrue="1" operator="equal">
      <formula>0</formula>
    </cfRule>
  </conditionalFormatting>
  <conditionalFormatting sqref="W35:W49">
    <cfRule type="cellIs" dxfId="70" priority="37" stopIfTrue="1" operator="equal">
      <formula>F35="EUR_per_ha"</formula>
    </cfRule>
  </conditionalFormatting>
  <conditionalFormatting sqref="G9:G23">
    <cfRule type="expression" dxfId="69" priority="12" stopIfTrue="1">
      <formula>Z9="a"</formula>
    </cfRule>
    <cfRule type="expression" dxfId="68" priority="16" stopIfTrue="1">
      <formula>Z9="c"</formula>
    </cfRule>
  </conditionalFormatting>
  <conditionalFormatting sqref="H9:H23">
    <cfRule type="expression" dxfId="67" priority="13" stopIfTrue="1">
      <formula>Z9="a"</formula>
    </cfRule>
    <cfRule type="expression" dxfId="66" priority="14" stopIfTrue="1">
      <formula>Z9="c"</formula>
    </cfRule>
  </conditionalFormatting>
  <conditionalFormatting sqref="G35:G49">
    <cfRule type="expression" dxfId="65" priority="8" stopIfTrue="1">
      <formula>Z35="a"</formula>
    </cfRule>
    <cfRule type="expression" dxfId="64" priority="11" stopIfTrue="1">
      <formula>Z35="c"</formula>
    </cfRule>
  </conditionalFormatting>
  <conditionalFormatting sqref="H35:H49">
    <cfRule type="expression" dxfId="63" priority="9" stopIfTrue="1">
      <formula>Z35="a"</formula>
    </cfRule>
    <cfRule type="expression" dxfId="62" priority="10" stopIfTrue="1">
      <formula>Z35="c"</formula>
    </cfRule>
  </conditionalFormatting>
  <conditionalFormatting sqref="F6">
    <cfRule type="cellIs" dxfId="61" priority="7" operator="equal">
      <formula>0</formula>
    </cfRule>
  </conditionalFormatting>
  <conditionalFormatting sqref="D2:E2">
    <cfRule type="cellIs" dxfId="60" priority="6" operator="equal">
      <formula>0</formula>
    </cfRule>
  </conditionalFormatting>
  <conditionalFormatting sqref="M55">
    <cfRule type="cellIs" dxfId="59" priority="4" operator="equal">
      <formula>"DOMANDA NON AMMISSIMILE - PS &gt;200.000 EURO"</formula>
    </cfRule>
  </conditionalFormatting>
  <conditionalFormatting sqref="D69:H69">
    <cfRule type="cellIs" dxfId="58" priority="3" operator="equal">
      <formula>"DOMANDA NON AMMISSIMILE - PS &gt;200.000 EURO"</formula>
    </cfRule>
  </conditionalFormatting>
  <dataValidations count="1">
    <dataValidation type="list" allowBlank="1" showInputMessage="1" showErrorMessage="1" sqref="D35:D49 D9:D23">
      <formula1>$D$170:$D$254</formula1>
    </dataValidation>
  </dataValidations>
  <pageMargins left="0.35433070866141736" right="0.27559055118110237" top="0.51181102362204722" bottom="0.74803149606299213" header="0.31496062992125984" footer="0.31496062992125984"/>
  <pageSetup paperSize="9" scale="69" orientation="portrait" blackAndWhite="1" r:id="rId1"/>
  <headerFooter>
    <oddHeader>&amp;C&amp;14Regione Liguria - Piano Aziendale di Sviluppo&amp;R&amp;8PACCHETTO GIOVANI SOTTOMISURE 4.1 e 6.1</oddHeader>
    <oddFooter>&amp;C&amp;A&amp;Rpag 2</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FW126"/>
  <sheetViews>
    <sheetView showGridLines="0" view="pageBreakPreview" topLeftCell="A20" zoomScale="70" zoomScaleNormal="80" zoomScaleSheetLayoutView="70" zoomScalePageLayoutView="50" workbookViewId="0">
      <selection activeCell="AL25" sqref="AL25"/>
    </sheetView>
  </sheetViews>
  <sheetFormatPr defaultColWidth="3.88671875" defaultRowHeight="20.25" customHeight="1" x14ac:dyDescent="0.3"/>
  <cols>
    <col min="1" max="1" width="4.5546875" style="38" customWidth="1"/>
    <col min="2" max="37" width="3.88671875" style="38"/>
    <col min="38" max="38" width="15.33203125" style="38" customWidth="1"/>
    <col min="39" max="46" width="3.88671875" style="38"/>
    <col min="47" max="47" width="13.33203125" style="38" customWidth="1"/>
    <col min="48" max="48" width="3.88671875" style="38"/>
    <col min="49" max="49" width="6.77734375" style="38" customWidth="1"/>
    <col min="50" max="16384" width="3.88671875" style="38"/>
  </cols>
  <sheetData>
    <row r="1" spans="1:179" s="24" customFormat="1" ht="59.4" customHeight="1" x14ac:dyDescent="0.25">
      <c r="A1" s="647" t="s">
        <v>441</v>
      </c>
      <c r="B1" s="647"/>
      <c r="C1" s="647"/>
      <c r="D1" s="647"/>
      <c r="E1" s="647"/>
      <c r="F1" s="647"/>
      <c r="G1" s="647"/>
      <c r="H1" s="647"/>
      <c r="I1" s="647"/>
      <c r="J1" s="647"/>
      <c r="K1" s="647"/>
      <c r="L1" s="647"/>
      <c r="M1" s="647"/>
      <c r="N1" s="647"/>
      <c r="O1" s="647"/>
      <c r="P1" s="647"/>
      <c r="Q1" s="647"/>
      <c r="R1" s="647"/>
      <c r="S1" s="647"/>
      <c r="T1" s="647"/>
      <c r="U1" s="647"/>
      <c r="V1" s="647"/>
      <c r="W1" s="647"/>
      <c r="X1" s="647"/>
      <c r="Y1" s="647"/>
      <c r="Z1" s="647"/>
      <c r="AA1" s="647"/>
      <c r="AB1" s="647"/>
      <c r="AC1" s="647"/>
      <c r="AD1" s="647"/>
      <c r="AE1" s="647"/>
      <c r="AF1" s="647"/>
      <c r="AG1" s="647"/>
      <c r="AH1" s="647"/>
      <c r="AI1" s="647"/>
      <c r="AJ1" s="647"/>
      <c r="AK1" s="23"/>
      <c r="AL1" s="683" t="s">
        <v>440</v>
      </c>
      <c r="AM1" s="683"/>
      <c r="AN1" s="683"/>
      <c r="AO1" s="683"/>
      <c r="AP1" s="683"/>
      <c r="AQ1" s="683"/>
      <c r="AR1" s="683"/>
      <c r="AS1" s="683"/>
      <c r="AT1" s="683"/>
      <c r="AU1" s="683"/>
      <c r="AV1" s="683"/>
      <c r="AW1" s="683"/>
      <c r="AX1" s="683"/>
      <c r="AY1" s="683"/>
      <c r="AZ1" s="683"/>
      <c r="BA1" s="683"/>
      <c r="BB1" s="23"/>
      <c r="BC1" s="23"/>
      <c r="BD1" s="23"/>
      <c r="BE1" s="23"/>
      <c r="BF1" s="23"/>
      <c r="BG1" s="23"/>
      <c r="BH1" s="23"/>
      <c r="BI1" s="23"/>
      <c r="BJ1" s="23"/>
      <c r="BK1" s="23"/>
      <c r="BL1" s="23"/>
      <c r="BM1" s="23"/>
      <c r="BN1" s="23"/>
      <c r="BO1" s="23"/>
      <c r="BP1" s="23"/>
      <c r="BQ1" s="23"/>
      <c r="BR1" s="23"/>
      <c r="BS1" s="23"/>
      <c r="BT1" s="23"/>
      <c r="BU1" s="23"/>
      <c r="BV1" s="23"/>
      <c r="BW1" s="23"/>
      <c r="BX1" s="23"/>
      <c r="BY1" s="23"/>
      <c r="BZ1" s="23"/>
      <c r="CA1" s="23"/>
      <c r="CB1" s="23"/>
      <c r="CC1" s="23"/>
      <c r="CD1" s="23"/>
      <c r="CE1" s="23"/>
      <c r="CF1" s="23"/>
      <c r="CG1" s="23"/>
      <c r="CH1" s="23"/>
      <c r="CI1" s="23"/>
      <c r="CJ1" s="23"/>
      <c r="CK1" s="23"/>
      <c r="CL1" s="23"/>
      <c r="CM1" s="23"/>
      <c r="CN1" s="23"/>
      <c r="CO1" s="23"/>
      <c r="CP1" s="23"/>
      <c r="CQ1" s="23"/>
      <c r="CR1" s="23"/>
      <c r="CS1" s="23"/>
      <c r="CT1" s="23"/>
      <c r="CU1" s="23"/>
      <c r="CV1" s="23"/>
      <c r="CW1" s="23"/>
      <c r="CX1" s="23"/>
      <c r="CY1" s="23"/>
      <c r="CZ1" s="23"/>
      <c r="DA1" s="23"/>
      <c r="DB1" s="23"/>
      <c r="DC1" s="23"/>
      <c r="DD1" s="23"/>
      <c r="DE1" s="23"/>
      <c r="DF1" s="23"/>
      <c r="DG1" s="23"/>
      <c r="DH1" s="23"/>
      <c r="DI1" s="23"/>
      <c r="DJ1" s="23"/>
      <c r="DK1" s="23"/>
      <c r="DL1" s="23"/>
      <c r="DM1" s="23"/>
      <c r="DN1" s="23"/>
      <c r="DO1" s="23"/>
      <c r="DP1" s="23"/>
      <c r="DQ1" s="23"/>
      <c r="DR1" s="23"/>
      <c r="DS1" s="23"/>
      <c r="DT1" s="23"/>
      <c r="DU1" s="23"/>
      <c r="DV1" s="23"/>
      <c r="DW1" s="23"/>
      <c r="DX1" s="23"/>
      <c r="DY1" s="23"/>
      <c r="DZ1" s="23"/>
      <c r="EA1" s="23"/>
      <c r="EB1" s="23"/>
      <c r="EC1" s="23"/>
      <c r="ED1" s="23"/>
      <c r="EE1" s="23"/>
      <c r="EF1" s="23"/>
      <c r="EG1" s="23"/>
      <c r="EH1" s="23"/>
      <c r="EI1" s="23"/>
      <c r="EJ1" s="23"/>
      <c r="EK1" s="23"/>
      <c r="EL1" s="23"/>
      <c r="EM1" s="23"/>
      <c r="EN1" s="23"/>
      <c r="EO1" s="23"/>
      <c r="EP1" s="23"/>
      <c r="EQ1" s="23"/>
      <c r="ER1" s="23"/>
      <c r="ES1" s="23"/>
      <c r="ET1" s="23"/>
      <c r="EU1" s="23"/>
      <c r="EV1" s="23"/>
      <c r="EW1" s="23"/>
      <c r="EX1" s="23"/>
      <c r="EY1" s="23"/>
      <c r="EZ1" s="23"/>
      <c r="FA1" s="23"/>
      <c r="FB1" s="23"/>
      <c r="FC1" s="23"/>
      <c r="FD1" s="23"/>
      <c r="FN1" s="680" t="s">
        <v>178</v>
      </c>
      <c r="FO1" s="681"/>
      <c r="FP1" s="681"/>
      <c r="FQ1" s="681"/>
      <c r="FR1" s="681"/>
      <c r="FS1" s="681"/>
      <c r="FT1" s="681"/>
      <c r="FU1" s="681"/>
      <c r="FV1" s="681"/>
      <c r="FW1" s="682"/>
    </row>
    <row r="2" spans="1:179" s="1" customFormat="1" ht="20.25" customHeight="1" x14ac:dyDescent="0.3">
      <c r="B2" s="38"/>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EP2" s="25"/>
    </row>
    <row r="3" spans="1:179" s="49" customFormat="1" ht="20.25" customHeight="1" x14ac:dyDescent="0.4">
      <c r="A3" s="28"/>
      <c r="B3" s="29" t="s">
        <v>164</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92"/>
      <c r="AI3" s="30"/>
      <c r="AJ3" s="30"/>
      <c r="AK3" s="30"/>
      <c r="AL3" s="30"/>
      <c r="AM3" s="30"/>
      <c r="AN3" s="30"/>
      <c r="AO3" s="30"/>
      <c r="AP3" s="30"/>
      <c r="AQ3" s="30"/>
      <c r="AR3" s="30"/>
      <c r="AS3" s="30"/>
      <c r="AT3" s="30"/>
      <c r="AU3" s="30"/>
      <c r="AV3" s="30"/>
      <c r="AW3" s="30"/>
      <c r="AX3" s="30"/>
      <c r="AY3" s="30"/>
      <c r="AZ3" s="30"/>
      <c r="BA3" s="30"/>
      <c r="BB3" s="14"/>
      <c r="BC3" s="14"/>
      <c r="BD3" s="14"/>
      <c r="BE3" s="14"/>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4"/>
      <c r="CG3" s="14"/>
      <c r="CH3" s="14"/>
      <c r="CI3" s="14"/>
      <c r="CJ3" s="14"/>
      <c r="CK3" s="14"/>
      <c r="CL3" s="14"/>
      <c r="CM3" s="14"/>
      <c r="CN3" s="14"/>
      <c r="CO3" s="14"/>
      <c r="CP3" s="14"/>
      <c r="CQ3" s="14"/>
      <c r="CR3" s="14"/>
      <c r="CS3" s="14"/>
      <c r="CT3" s="14"/>
      <c r="CU3" s="14"/>
      <c r="CV3" s="14"/>
      <c r="CW3" s="14"/>
      <c r="CX3" s="14"/>
      <c r="CY3" s="14"/>
      <c r="CZ3" s="14"/>
      <c r="DA3" s="14"/>
      <c r="DB3" s="14"/>
      <c r="DC3" s="14"/>
      <c r="DD3" s="14"/>
      <c r="DE3" s="14"/>
      <c r="DF3" s="14"/>
      <c r="DG3" s="14"/>
      <c r="DH3" s="14"/>
      <c r="DI3" s="14"/>
      <c r="DJ3" s="14"/>
      <c r="DK3" s="14"/>
      <c r="DL3" s="14"/>
      <c r="DM3" s="14"/>
      <c r="DN3" s="14"/>
      <c r="DO3" s="14"/>
      <c r="DP3" s="14"/>
      <c r="DQ3" s="14"/>
      <c r="DR3" s="14"/>
      <c r="DS3" s="14"/>
      <c r="DT3" s="14"/>
      <c r="DU3" s="14"/>
      <c r="DV3" s="14"/>
      <c r="DW3" s="14"/>
      <c r="DX3" s="14"/>
      <c r="DY3" s="14"/>
      <c r="DZ3" s="14"/>
      <c r="EA3" s="14"/>
      <c r="EB3" s="14"/>
      <c r="EC3" s="14"/>
      <c r="ED3" s="14"/>
      <c r="EE3" s="14"/>
      <c r="EF3" s="14"/>
      <c r="EG3" s="14"/>
      <c r="EH3" s="14"/>
      <c r="EI3" s="14"/>
      <c r="EJ3" s="14"/>
      <c r="EK3" s="14"/>
      <c r="EL3" s="14"/>
      <c r="EM3" s="14"/>
      <c r="EN3" s="14"/>
      <c r="EO3" s="14"/>
      <c r="EP3" s="14"/>
      <c r="EQ3" s="48"/>
      <c r="ER3" s="48"/>
      <c r="ES3" s="48"/>
      <c r="ET3" s="48"/>
      <c r="EU3" s="48"/>
      <c r="EV3" s="48"/>
      <c r="EW3" s="48"/>
      <c r="EX3" s="48"/>
      <c r="EY3" s="48"/>
      <c r="EZ3" s="48"/>
      <c r="FA3" s="48"/>
      <c r="FB3" s="48"/>
      <c r="FC3" s="48"/>
      <c r="FD3" s="48"/>
      <c r="FE3" s="48"/>
      <c r="FF3" s="48"/>
      <c r="FG3" s="48"/>
      <c r="FH3" s="48"/>
      <c r="FI3" s="48"/>
      <c r="FJ3" s="48"/>
      <c r="FK3" s="48"/>
      <c r="FL3" s="48"/>
      <c r="FM3" s="48"/>
      <c r="FN3" s="48"/>
      <c r="FO3" s="48"/>
      <c r="FP3" s="48"/>
      <c r="FQ3" s="48"/>
      <c r="FR3" s="48"/>
    </row>
    <row r="4" spans="1:179" s="233" customFormat="1" ht="57.6" customHeight="1" x14ac:dyDescent="0.25">
      <c r="A4" s="266" t="s">
        <v>268</v>
      </c>
      <c r="B4" s="567" t="s">
        <v>307</v>
      </c>
      <c r="C4" s="567"/>
      <c r="D4" s="567"/>
      <c r="E4" s="567"/>
      <c r="F4" s="567"/>
      <c r="G4" s="567"/>
      <c r="H4" s="567"/>
      <c r="I4" s="567"/>
      <c r="J4" s="567"/>
      <c r="K4" s="567"/>
      <c r="L4" s="567"/>
      <c r="M4" s="567"/>
      <c r="N4" s="567"/>
      <c r="O4" s="567"/>
      <c r="P4" s="567"/>
      <c r="Q4" s="567"/>
      <c r="R4" s="567"/>
      <c r="S4" s="567"/>
      <c r="T4" s="567"/>
      <c r="U4" s="567"/>
      <c r="V4" s="567"/>
      <c r="W4" s="567"/>
      <c r="X4" s="567"/>
      <c r="Y4" s="567"/>
      <c r="Z4" s="567"/>
      <c r="AA4" s="567"/>
      <c r="AB4" s="567"/>
      <c r="AC4" s="567"/>
      <c r="AD4" s="567"/>
      <c r="AE4" s="567"/>
      <c r="AF4" s="567"/>
      <c r="AG4" s="567"/>
      <c r="AH4" s="567"/>
      <c r="AI4" s="567"/>
      <c r="AJ4" s="567"/>
      <c r="AK4" s="567"/>
      <c r="AL4" s="567"/>
      <c r="AM4" s="567"/>
      <c r="AN4" s="567"/>
      <c r="AO4" s="567"/>
      <c r="AP4" s="567"/>
      <c r="AQ4" s="567"/>
      <c r="AR4" s="567"/>
      <c r="AS4" s="567"/>
      <c r="AT4" s="567"/>
      <c r="AU4" s="567"/>
      <c r="AV4" s="567"/>
      <c r="AW4" s="567"/>
      <c r="AX4" s="567"/>
      <c r="AY4" s="567"/>
      <c r="AZ4" s="567"/>
      <c r="BA4" s="113"/>
      <c r="BB4" s="113"/>
      <c r="BC4" s="113"/>
      <c r="BD4" s="113"/>
      <c r="BE4" s="113"/>
      <c r="BF4" s="113"/>
      <c r="BG4" s="113"/>
      <c r="BH4" s="113"/>
      <c r="BI4" s="113"/>
      <c r="BJ4" s="113"/>
      <c r="BK4" s="113"/>
      <c r="BL4" s="113"/>
      <c r="BM4" s="113"/>
      <c r="BN4" s="113"/>
      <c r="BO4" s="113"/>
      <c r="BP4" s="113"/>
      <c r="BQ4" s="113"/>
      <c r="BR4" s="113"/>
      <c r="BS4" s="113"/>
      <c r="BT4" s="113"/>
      <c r="BU4" s="113"/>
      <c r="BV4" s="113"/>
      <c r="BW4" s="113"/>
      <c r="BX4" s="113"/>
      <c r="BY4" s="113"/>
      <c r="BZ4" s="113"/>
      <c r="CA4" s="113"/>
      <c r="CB4" s="113"/>
      <c r="CC4" s="113"/>
      <c r="CD4" s="113"/>
      <c r="CE4" s="113"/>
      <c r="CF4" s="113"/>
      <c r="CG4" s="113"/>
      <c r="CH4" s="113"/>
      <c r="CI4" s="113"/>
      <c r="CJ4" s="113"/>
      <c r="CK4" s="113"/>
      <c r="CL4" s="113"/>
      <c r="CM4" s="113"/>
      <c r="CN4" s="113"/>
      <c r="CO4" s="113"/>
      <c r="CP4" s="113"/>
      <c r="CQ4" s="113"/>
      <c r="CR4" s="113"/>
      <c r="CS4" s="113"/>
      <c r="CT4" s="113"/>
      <c r="CU4" s="113"/>
      <c r="CV4" s="113"/>
      <c r="CW4" s="113"/>
      <c r="CX4" s="113"/>
      <c r="CY4" s="113"/>
      <c r="CZ4" s="113"/>
      <c r="DA4" s="113"/>
      <c r="DB4" s="113"/>
      <c r="DC4" s="113"/>
      <c r="DD4" s="113"/>
      <c r="DE4" s="113"/>
      <c r="DF4" s="113"/>
      <c r="DG4" s="113"/>
      <c r="DH4" s="113"/>
      <c r="DI4" s="113"/>
      <c r="DJ4" s="113"/>
      <c r="DK4" s="113"/>
      <c r="DL4" s="113"/>
      <c r="DM4" s="113"/>
      <c r="DN4" s="113"/>
      <c r="DO4" s="113"/>
      <c r="DP4" s="113"/>
      <c r="DQ4" s="113"/>
      <c r="DR4" s="113"/>
      <c r="DS4" s="113"/>
      <c r="DT4" s="113"/>
      <c r="DU4" s="113"/>
      <c r="DV4" s="113"/>
      <c r="DW4" s="113"/>
      <c r="DX4" s="113"/>
      <c r="DY4" s="113"/>
      <c r="DZ4" s="113"/>
      <c r="EA4" s="113"/>
      <c r="EB4" s="113"/>
      <c r="EC4" s="113"/>
      <c r="ED4" s="113"/>
      <c r="EE4" s="113"/>
      <c r="EF4" s="113"/>
      <c r="EG4" s="113"/>
      <c r="EH4" s="113"/>
      <c r="EI4" s="113"/>
      <c r="EJ4" s="113"/>
      <c r="EK4" s="113"/>
      <c r="EL4" s="113"/>
      <c r="EM4" s="113"/>
      <c r="EN4" s="113"/>
      <c r="EO4" s="113"/>
      <c r="EP4" s="113"/>
      <c r="EQ4" s="229"/>
      <c r="ER4" s="229"/>
      <c r="ES4" s="229"/>
      <c r="ET4" s="229"/>
      <c r="EU4" s="229"/>
      <c r="EV4" s="229"/>
      <c r="EW4" s="229"/>
      <c r="EX4" s="229"/>
      <c r="EY4" s="229"/>
      <c r="EZ4" s="229"/>
      <c r="FA4" s="229"/>
      <c r="FB4" s="229"/>
      <c r="FC4" s="229"/>
      <c r="FD4" s="229"/>
      <c r="FE4" s="229"/>
      <c r="FF4" s="229"/>
      <c r="FG4" s="229"/>
      <c r="FH4" s="229"/>
      <c r="FI4" s="229"/>
      <c r="FJ4" s="229"/>
      <c r="FK4" s="229"/>
      <c r="FL4" s="229"/>
      <c r="FM4" s="229"/>
      <c r="FN4" s="229"/>
      <c r="FO4" s="229"/>
      <c r="FP4" s="229"/>
      <c r="FQ4" s="229"/>
      <c r="FR4" s="229"/>
    </row>
    <row r="5" spans="1:179" s="1" customFormat="1" ht="54" customHeight="1" x14ac:dyDescent="0.3">
      <c r="A5" s="2"/>
      <c r="B5" s="687" t="s">
        <v>8</v>
      </c>
      <c r="C5" s="688"/>
      <c r="D5" s="689"/>
      <c r="E5" s="678" t="s">
        <v>249</v>
      </c>
      <c r="F5" s="678"/>
      <c r="G5" s="678"/>
      <c r="H5" s="678"/>
      <c r="I5" s="678"/>
      <c r="J5" s="678"/>
      <c r="K5" s="678"/>
      <c r="L5" s="678"/>
      <c r="M5" s="678"/>
      <c r="N5" s="678"/>
      <c r="O5" s="678"/>
      <c r="P5" s="678"/>
      <c r="Q5" s="678"/>
      <c r="R5" s="678"/>
      <c r="S5" s="678"/>
      <c r="T5" s="678"/>
      <c r="U5" s="590" t="s">
        <v>163</v>
      </c>
      <c r="V5" s="591"/>
      <c r="W5" s="591"/>
      <c r="X5" s="591"/>
      <c r="Y5" s="591"/>
      <c r="Z5" s="591"/>
      <c r="AA5" s="591"/>
      <c r="AB5" s="591"/>
      <c r="AC5" s="591"/>
      <c r="AD5" s="591"/>
      <c r="AE5" s="591"/>
      <c r="AF5" s="592"/>
      <c r="AG5" s="677" t="s">
        <v>288</v>
      </c>
      <c r="AH5" s="677"/>
      <c r="AI5" s="677"/>
      <c r="AJ5" s="677"/>
      <c r="AK5" s="224"/>
      <c r="AL5" s="590" t="s">
        <v>163</v>
      </c>
      <c r="AM5" s="591"/>
      <c r="AN5" s="591"/>
      <c r="AO5" s="591"/>
      <c r="AP5" s="591"/>
      <c r="AQ5" s="591"/>
      <c r="AR5" s="591"/>
      <c r="AS5" s="591"/>
      <c r="AT5" s="592"/>
      <c r="AU5" s="455" t="s">
        <v>288</v>
      </c>
      <c r="AV5" s="677" t="s">
        <v>250</v>
      </c>
      <c r="AW5" s="677"/>
      <c r="AX5" s="677"/>
      <c r="AY5" s="677"/>
      <c r="AZ5" s="677"/>
      <c r="BA5" s="37"/>
      <c r="BB5" s="37"/>
      <c r="BC5" s="37"/>
      <c r="BD5" s="37"/>
      <c r="BE5" s="37"/>
      <c r="BF5" s="37"/>
      <c r="BG5" s="37"/>
      <c r="BH5" s="37"/>
      <c r="BI5" s="37"/>
      <c r="BJ5" s="37"/>
      <c r="BK5" s="37"/>
      <c r="BL5" s="37"/>
      <c r="BM5" s="37"/>
      <c r="BN5" s="37"/>
      <c r="BO5" s="37"/>
      <c r="BP5" s="37"/>
      <c r="BQ5" s="37"/>
      <c r="BR5" s="37"/>
      <c r="BS5" s="37"/>
      <c r="BT5" s="37"/>
      <c r="BU5" s="37"/>
      <c r="BV5" s="37"/>
      <c r="BW5" s="37"/>
      <c r="BX5" s="37"/>
      <c r="BY5" s="37"/>
      <c r="BZ5" s="37"/>
      <c r="CA5" s="37"/>
      <c r="CB5" s="37"/>
      <c r="CC5" s="37"/>
      <c r="CD5" s="37"/>
      <c r="CE5" s="37"/>
      <c r="CF5" s="37"/>
      <c r="CG5" s="37"/>
      <c r="CH5" s="37"/>
      <c r="CI5" s="37"/>
      <c r="CJ5" s="37"/>
      <c r="CK5" s="37"/>
      <c r="CL5" s="37"/>
      <c r="CM5" s="37"/>
      <c r="CN5" s="37"/>
      <c r="CO5" s="37"/>
      <c r="CP5" s="37"/>
      <c r="CQ5" s="37"/>
      <c r="CR5" s="37"/>
      <c r="CS5" s="37"/>
      <c r="CT5" s="37"/>
      <c r="CU5" s="37"/>
      <c r="CV5" s="37"/>
      <c r="CW5" s="37"/>
      <c r="CX5" s="37"/>
      <c r="CY5" s="37"/>
      <c r="CZ5" s="37"/>
      <c r="DA5" s="37"/>
      <c r="DB5" s="37"/>
      <c r="DC5" s="37"/>
      <c r="DD5" s="37"/>
      <c r="DE5" s="37"/>
      <c r="DF5" s="37"/>
      <c r="DG5" s="37"/>
      <c r="DH5" s="37"/>
      <c r="DI5" s="37"/>
      <c r="DJ5" s="37"/>
      <c r="DK5" s="37"/>
      <c r="DL5" s="37"/>
      <c r="DM5" s="37"/>
      <c r="DN5" s="37"/>
      <c r="DO5" s="37"/>
      <c r="DP5" s="37"/>
      <c r="DQ5" s="37"/>
      <c r="DR5" s="37"/>
      <c r="DS5" s="37"/>
      <c r="DT5" s="37"/>
      <c r="DU5" s="37"/>
      <c r="DV5" s="37"/>
      <c r="DW5" s="37"/>
      <c r="DX5" s="37"/>
      <c r="DY5" s="37"/>
      <c r="DZ5" s="37"/>
      <c r="EA5" s="37"/>
      <c r="EB5" s="37"/>
      <c r="EC5" s="37"/>
      <c r="ED5" s="37"/>
      <c r="EE5" s="37"/>
      <c r="EF5" s="37"/>
      <c r="EG5" s="37"/>
      <c r="EH5" s="37"/>
      <c r="EI5" s="37"/>
      <c r="EJ5" s="37"/>
      <c r="EK5" s="37"/>
      <c r="EL5" s="37"/>
      <c r="EM5" s="37"/>
      <c r="EN5" s="37"/>
      <c r="EO5" s="37"/>
      <c r="EP5" s="37"/>
      <c r="FH5" s="26"/>
      <c r="FI5" s="26"/>
      <c r="FJ5" s="26"/>
      <c r="FK5" s="26"/>
      <c r="FL5" s="26"/>
      <c r="FM5" s="26"/>
      <c r="FN5" s="26"/>
      <c r="FO5" s="26"/>
      <c r="FP5" s="26"/>
      <c r="FQ5" s="26"/>
      <c r="FR5" s="26"/>
    </row>
    <row r="6" spans="1:179" s="32" customFormat="1" ht="33.6" customHeight="1" x14ac:dyDescent="0.25">
      <c r="B6" s="674" t="s">
        <v>198</v>
      </c>
      <c r="C6" s="675"/>
      <c r="D6" s="676"/>
      <c r="E6" s="669"/>
      <c r="F6" s="669"/>
      <c r="G6" s="669"/>
      <c r="H6" s="669"/>
      <c r="I6" s="669"/>
      <c r="J6" s="669"/>
      <c r="K6" s="669"/>
      <c r="L6" s="669"/>
      <c r="M6" s="669"/>
      <c r="N6" s="669"/>
      <c r="O6" s="669"/>
      <c r="P6" s="669"/>
      <c r="Q6" s="669"/>
      <c r="R6" s="669"/>
      <c r="S6" s="669"/>
      <c r="T6" s="669"/>
      <c r="U6" s="554" t="s">
        <v>290</v>
      </c>
      <c r="V6" s="555"/>
      <c r="W6" s="555"/>
      <c r="X6" s="555"/>
      <c r="Y6" s="555"/>
      <c r="Z6" s="555"/>
      <c r="AA6" s="555"/>
      <c r="AB6" s="555"/>
      <c r="AC6" s="555"/>
      <c r="AD6" s="555"/>
      <c r="AE6" s="555"/>
      <c r="AF6" s="556"/>
      <c r="AG6" s="679"/>
      <c r="AH6" s="679"/>
      <c r="AI6" s="679"/>
      <c r="AJ6" s="679"/>
      <c r="AK6" s="223"/>
      <c r="AL6" s="554"/>
      <c r="AM6" s="555"/>
      <c r="AN6" s="555"/>
      <c r="AO6" s="555"/>
      <c r="AP6" s="555"/>
      <c r="AQ6" s="555"/>
      <c r="AR6" s="555"/>
      <c r="AS6" s="555"/>
      <c r="AT6" s="556"/>
      <c r="AU6" s="470"/>
      <c r="AV6" s="561" t="s">
        <v>289</v>
      </c>
      <c r="AW6" s="561"/>
      <c r="AX6" s="561"/>
      <c r="AY6" s="561"/>
      <c r="AZ6" s="561"/>
      <c r="BA6" s="179"/>
      <c r="BB6" s="179"/>
      <c r="BC6" s="179"/>
      <c r="BD6" s="179"/>
      <c r="BE6" s="179"/>
      <c r="BF6" s="179"/>
      <c r="BG6" s="179"/>
      <c r="BH6" s="179"/>
      <c r="BI6" s="179"/>
      <c r="BJ6" s="179"/>
      <c r="BK6" s="179"/>
      <c r="BL6" s="179"/>
      <c r="BM6" s="179"/>
      <c r="BN6" s="179"/>
      <c r="BO6" s="179"/>
      <c r="BP6" s="179"/>
      <c r="BQ6" s="179"/>
      <c r="BR6" s="179"/>
      <c r="BS6" s="179"/>
      <c r="BT6" s="179"/>
      <c r="BU6" s="179"/>
      <c r="BV6" s="179"/>
      <c r="BW6" s="179"/>
      <c r="BX6" s="179"/>
      <c r="BY6" s="179"/>
      <c r="BZ6" s="179"/>
      <c r="CA6" s="179"/>
      <c r="CB6" s="179"/>
      <c r="CC6" s="179"/>
      <c r="CD6" s="179"/>
      <c r="CE6" s="179"/>
      <c r="CF6" s="179"/>
      <c r="CG6" s="179"/>
      <c r="CH6" s="179"/>
      <c r="CI6" s="179"/>
      <c r="CJ6" s="179"/>
      <c r="CK6" s="179"/>
      <c r="CL6" s="179"/>
      <c r="CM6" s="179"/>
      <c r="CN6" s="179"/>
      <c r="CO6" s="179"/>
      <c r="CP6" s="179"/>
      <c r="CQ6" s="179"/>
      <c r="CR6" s="179"/>
      <c r="CS6" s="179"/>
      <c r="CT6" s="179"/>
      <c r="CU6" s="179"/>
      <c r="CV6" s="179"/>
      <c r="CW6" s="179"/>
      <c r="CX6" s="179"/>
      <c r="CY6" s="179"/>
      <c r="CZ6" s="179"/>
      <c r="DA6" s="179"/>
      <c r="DB6" s="179"/>
      <c r="DC6" s="179"/>
      <c r="DD6" s="179"/>
      <c r="DE6" s="179"/>
      <c r="DF6" s="179"/>
      <c r="DG6" s="179"/>
      <c r="DH6" s="179"/>
      <c r="DI6" s="179"/>
      <c r="DJ6" s="179"/>
      <c r="DK6" s="179"/>
      <c r="DL6" s="179"/>
      <c r="DM6" s="179"/>
      <c r="DN6" s="179"/>
      <c r="DO6" s="179"/>
      <c r="DP6" s="179"/>
      <c r="DQ6" s="179"/>
      <c r="DR6" s="179"/>
      <c r="DS6" s="179"/>
      <c r="DT6" s="179"/>
      <c r="DU6" s="179"/>
      <c r="DV6" s="179"/>
      <c r="DW6" s="179"/>
      <c r="DX6" s="179"/>
      <c r="DY6" s="179"/>
      <c r="DZ6" s="179"/>
      <c r="EA6" s="179"/>
      <c r="EB6" s="179"/>
      <c r="EC6" s="179"/>
      <c r="ED6" s="179"/>
      <c r="EE6" s="179"/>
      <c r="EF6" s="179"/>
      <c r="EG6" s="179"/>
      <c r="EH6" s="179"/>
      <c r="EI6" s="179"/>
      <c r="EJ6" s="179"/>
      <c r="EK6" s="179"/>
      <c r="EL6" s="179"/>
      <c r="EM6" s="179"/>
      <c r="EN6" s="179"/>
      <c r="EO6" s="179"/>
      <c r="EP6" s="179"/>
      <c r="FH6" s="33"/>
      <c r="FI6" s="33"/>
      <c r="FJ6" s="33"/>
      <c r="FK6" s="33"/>
      <c r="FL6" s="33"/>
      <c r="FM6" s="33"/>
      <c r="FN6" s="684">
        <f>AG6*COUNTA(AG6)</f>
        <v>0</v>
      </c>
      <c r="FO6" s="685"/>
      <c r="FP6" s="685"/>
      <c r="FQ6" s="686"/>
      <c r="FR6" s="33"/>
      <c r="FT6" s="684">
        <f t="shared" ref="FT6:FT15" si="0">AU6*COUNTA(AU6)</f>
        <v>0</v>
      </c>
      <c r="FU6" s="685"/>
      <c r="FV6" s="685"/>
      <c r="FW6" s="686"/>
    </row>
    <row r="7" spans="1:179" s="32" customFormat="1" ht="33.6" customHeight="1" x14ac:dyDescent="0.25">
      <c r="B7" s="674" t="s">
        <v>199</v>
      </c>
      <c r="C7" s="675"/>
      <c r="D7" s="676"/>
      <c r="E7" s="669"/>
      <c r="F7" s="669"/>
      <c r="G7" s="669"/>
      <c r="H7" s="669"/>
      <c r="I7" s="669"/>
      <c r="J7" s="669"/>
      <c r="K7" s="669"/>
      <c r="L7" s="669"/>
      <c r="M7" s="669"/>
      <c r="N7" s="669"/>
      <c r="O7" s="669"/>
      <c r="P7" s="669"/>
      <c r="Q7" s="669"/>
      <c r="R7" s="669"/>
      <c r="S7" s="669"/>
      <c r="T7" s="669"/>
      <c r="U7" s="554"/>
      <c r="V7" s="555"/>
      <c r="W7" s="555"/>
      <c r="X7" s="555"/>
      <c r="Y7" s="555"/>
      <c r="Z7" s="555"/>
      <c r="AA7" s="555"/>
      <c r="AB7" s="555"/>
      <c r="AC7" s="555"/>
      <c r="AD7" s="555"/>
      <c r="AE7" s="555"/>
      <c r="AF7" s="556"/>
      <c r="AG7" s="679"/>
      <c r="AH7" s="679"/>
      <c r="AI7" s="679"/>
      <c r="AJ7" s="679"/>
      <c r="AK7" s="223"/>
      <c r="AL7" s="554"/>
      <c r="AM7" s="555"/>
      <c r="AN7" s="555"/>
      <c r="AO7" s="555"/>
      <c r="AP7" s="555"/>
      <c r="AQ7" s="555"/>
      <c r="AR7" s="555"/>
      <c r="AS7" s="555"/>
      <c r="AT7" s="556"/>
      <c r="AU7" s="470"/>
      <c r="AV7" s="561"/>
      <c r="AW7" s="561"/>
      <c r="AX7" s="561"/>
      <c r="AY7" s="561"/>
      <c r="AZ7" s="561"/>
      <c r="BA7" s="179"/>
      <c r="BB7" s="179"/>
      <c r="BC7" s="179"/>
      <c r="BD7" s="179"/>
      <c r="BE7" s="179"/>
      <c r="BF7" s="179"/>
      <c r="BG7" s="179"/>
      <c r="BH7" s="179"/>
      <c r="BI7" s="179"/>
      <c r="BJ7" s="179"/>
      <c r="BK7" s="179"/>
      <c r="BL7" s="179"/>
      <c r="BM7" s="179"/>
      <c r="BN7" s="179"/>
      <c r="BO7" s="179"/>
      <c r="BP7" s="179"/>
      <c r="BQ7" s="179"/>
      <c r="BR7" s="179"/>
      <c r="BS7" s="179"/>
      <c r="BT7" s="179"/>
      <c r="BU7" s="179"/>
      <c r="BV7" s="179"/>
      <c r="BW7" s="179"/>
      <c r="BX7" s="179"/>
      <c r="BY7" s="179"/>
      <c r="BZ7" s="179"/>
      <c r="CA7" s="179"/>
      <c r="CB7" s="179"/>
      <c r="CC7" s="179"/>
      <c r="CD7" s="179"/>
      <c r="CE7" s="179"/>
      <c r="CF7" s="179"/>
      <c r="CG7" s="179"/>
      <c r="CH7" s="179"/>
      <c r="CI7" s="179"/>
      <c r="CJ7" s="179"/>
      <c r="CK7" s="179"/>
      <c r="CL7" s="179"/>
      <c r="CM7" s="179"/>
      <c r="CN7" s="179"/>
      <c r="CO7" s="179"/>
      <c r="CP7" s="179"/>
      <c r="CQ7" s="179"/>
      <c r="CR7" s="179"/>
      <c r="CS7" s="179"/>
      <c r="CT7" s="179"/>
      <c r="CU7" s="179"/>
      <c r="CV7" s="179"/>
      <c r="CW7" s="179"/>
      <c r="CX7" s="179"/>
      <c r="CY7" s="179"/>
      <c r="CZ7" s="179"/>
      <c r="DA7" s="179"/>
      <c r="DB7" s="179"/>
      <c r="DC7" s="179"/>
      <c r="DD7" s="179"/>
      <c r="DE7" s="179"/>
      <c r="DF7" s="179"/>
      <c r="DG7" s="179"/>
      <c r="DH7" s="179"/>
      <c r="DI7" s="179"/>
      <c r="DJ7" s="179"/>
      <c r="DK7" s="179"/>
      <c r="DL7" s="179"/>
      <c r="DM7" s="179"/>
      <c r="DN7" s="179"/>
      <c r="DO7" s="179"/>
      <c r="DP7" s="179"/>
      <c r="DQ7" s="179"/>
      <c r="DR7" s="179"/>
      <c r="DS7" s="179"/>
      <c r="DT7" s="179"/>
      <c r="DU7" s="179"/>
      <c r="DV7" s="179"/>
      <c r="DW7" s="179"/>
      <c r="DX7" s="179"/>
      <c r="DY7" s="179"/>
      <c r="DZ7" s="179"/>
      <c r="EA7" s="179"/>
      <c r="EB7" s="179"/>
      <c r="EC7" s="179"/>
      <c r="ED7" s="179"/>
      <c r="EE7" s="179"/>
      <c r="EF7" s="179"/>
      <c r="EG7" s="179"/>
      <c r="EH7" s="179"/>
      <c r="EI7" s="179"/>
      <c r="EJ7" s="179"/>
      <c r="EK7" s="179"/>
      <c r="EL7" s="179"/>
      <c r="EM7" s="179"/>
      <c r="EN7" s="179"/>
      <c r="EO7" s="179"/>
      <c r="EP7" s="179"/>
      <c r="FH7" s="33"/>
      <c r="FI7" s="33"/>
      <c r="FJ7" s="33"/>
      <c r="FK7" s="33"/>
      <c r="FL7" s="33"/>
      <c r="FM7" s="33"/>
      <c r="FN7" s="684">
        <f t="shared" ref="FN7:FN15" si="1">AG7*COUNTA(AG7)</f>
        <v>0</v>
      </c>
      <c r="FO7" s="685"/>
      <c r="FP7" s="685"/>
      <c r="FQ7" s="686"/>
      <c r="FR7" s="33"/>
      <c r="FT7" s="684">
        <f t="shared" si="0"/>
        <v>0</v>
      </c>
      <c r="FU7" s="685"/>
      <c r="FV7" s="685"/>
      <c r="FW7" s="686"/>
    </row>
    <row r="8" spans="1:179" s="32" customFormat="1" ht="33.6" customHeight="1" x14ac:dyDescent="0.25">
      <c r="B8" s="674" t="s">
        <v>200</v>
      </c>
      <c r="C8" s="675"/>
      <c r="D8" s="676"/>
      <c r="E8" s="669"/>
      <c r="F8" s="669"/>
      <c r="G8" s="669"/>
      <c r="H8" s="669"/>
      <c r="I8" s="669"/>
      <c r="J8" s="669"/>
      <c r="K8" s="669"/>
      <c r="L8" s="669"/>
      <c r="M8" s="669"/>
      <c r="N8" s="669"/>
      <c r="O8" s="669"/>
      <c r="P8" s="669"/>
      <c r="Q8" s="669"/>
      <c r="R8" s="669"/>
      <c r="S8" s="669"/>
      <c r="T8" s="669"/>
      <c r="U8" s="554"/>
      <c r="V8" s="555"/>
      <c r="W8" s="555"/>
      <c r="X8" s="555"/>
      <c r="Y8" s="555"/>
      <c r="Z8" s="555"/>
      <c r="AA8" s="555"/>
      <c r="AB8" s="555"/>
      <c r="AC8" s="555"/>
      <c r="AD8" s="555"/>
      <c r="AE8" s="555"/>
      <c r="AF8" s="556"/>
      <c r="AG8" s="679"/>
      <c r="AH8" s="679"/>
      <c r="AI8" s="679"/>
      <c r="AJ8" s="679"/>
      <c r="AK8" s="223"/>
      <c r="AL8" s="554"/>
      <c r="AM8" s="555"/>
      <c r="AN8" s="555"/>
      <c r="AO8" s="555"/>
      <c r="AP8" s="555"/>
      <c r="AQ8" s="555"/>
      <c r="AR8" s="555"/>
      <c r="AS8" s="555"/>
      <c r="AT8" s="556"/>
      <c r="AU8" s="470"/>
      <c r="AV8" s="561"/>
      <c r="AW8" s="561"/>
      <c r="AX8" s="561"/>
      <c r="AY8" s="561"/>
      <c r="AZ8" s="561"/>
      <c r="BA8" s="179"/>
      <c r="BB8" s="179"/>
      <c r="BC8" s="179"/>
      <c r="BD8" s="179"/>
      <c r="BE8" s="179"/>
      <c r="BF8" s="179"/>
      <c r="BG8" s="179"/>
      <c r="BH8" s="179"/>
      <c r="BI8" s="179"/>
      <c r="BJ8" s="179"/>
      <c r="BK8" s="179"/>
      <c r="BL8" s="179"/>
      <c r="BM8" s="179"/>
      <c r="BN8" s="179"/>
      <c r="BO8" s="179"/>
      <c r="BP8" s="179"/>
      <c r="BQ8" s="179"/>
      <c r="BR8" s="179"/>
      <c r="BS8" s="179"/>
      <c r="BT8" s="179"/>
      <c r="BU8" s="179"/>
      <c r="BV8" s="179"/>
      <c r="BW8" s="179"/>
      <c r="BX8" s="179"/>
      <c r="BY8" s="179"/>
      <c r="BZ8" s="179"/>
      <c r="CA8" s="179"/>
      <c r="CB8" s="179"/>
      <c r="CC8" s="179"/>
      <c r="CD8" s="179"/>
      <c r="CE8" s="179"/>
      <c r="CF8" s="179"/>
      <c r="CG8" s="179"/>
      <c r="CH8" s="179"/>
      <c r="CI8" s="179"/>
      <c r="CJ8" s="179"/>
      <c r="CK8" s="179"/>
      <c r="CL8" s="179"/>
      <c r="CM8" s="179"/>
      <c r="CN8" s="179"/>
      <c r="CO8" s="179"/>
      <c r="CP8" s="179"/>
      <c r="CQ8" s="179"/>
      <c r="CR8" s="179"/>
      <c r="CS8" s="179"/>
      <c r="CT8" s="179"/>
      <c r="CU8" s="179"/>
      <c r="CV8" s="179"/>
      <c r="CW8" s="179"/>
      <c r="CX8" s="179"/>
      <c r="CY8" s="179"/>
      <c r="CZ8" s="179"/>
      <c r="DA8" s="179"/>
      <c r="DB8" s="179"/>
      <c r="DC8" s="179"/>
      <c r="DD8" s="179"/>
      <c r="DE8" s="179"/>
      <c r="DF8" s="179"/>
      <c r="DG8" s="179"/>
      <c r="DH8" s="179"/>
      <c r="DI8" s="179"/>
      <c r="DJ8" s="179"/>
      <c r="DK8" s="179"/>
      <c r="DL8" s="179"/>
      <c r="DM8" s="179"/>
      <c r="DN8" s="179"/>
      <c r="DO8" s="179"/>
      <c r="DP8" s="179"/>
      <c r="DQ8" s="179"/>
      <c r="DR8" s="179"/>
      <c r="DS8" s="179"/>
      <c r="DT8" s="179"/>
      <c r="DU8" s="179"/>
      <c r="DV8" s="179"/>
      <c r="DW8" s="179"/>
      <c r="DX8" s="179"/>
      <c r="DY8" s="179"/>
      <c r="DZ8" s="179"/>
      <c r="EA8" s="179"/>
      <c r="EB8" s="179"/>
      <c r="EC8" s="179"/>
      <c r="ED8" s="179"/>
      <c r="EE8" s="179"/>
      <c r="EF8" s="179"/>
      <c r="EG8" s="179"/>
      <c r="EH8" s="179"/>
      <c r="EI8" s="179"/>
      <c r="EJ8" s="179"/>
      <c r="EK8" s="179"/>
      <c r="EL8" s="179"/>
      <c r="EM8" s="179"/>
      <c r="EN8" s="179"/>
      <c r="EO8" s="179"/>
      <c r="EP8" s="179"/>
      <c r="FH8" s="33"/>
      <c r="FI8" s="33"/>
      <c r="FJ8" s="33"/>
      <c r="FK8" s="33"/>
      <c r="FL8" s="33"/>
      <c r="FM8" s="33"/>
      <c r="FN8" s="684">
        <f t="shared" si="1"/>
        <v>0</v>
      </c>
      <c r="FO8" s="685"/>
      <c r="FP8" s="685"/>
      <c r="FQ8" s="686"/>
      <c r="FR8" s="33"/>
      <c r="FT8" s="684">
        <f t="shared" si="0"/>
        <v>0</v>
      </c>
      <c r="FU8" s="685"/>
      <c r="FV8" s="685"/>
      <c r="FW8" s="686"/>
    </row>
    <row r="9" spans="1:179" s="32" customFormat="1" ht="33.6" customHeight="1" x14ac:dyDescent="0.25">
      <c r="B9" s="674" t="s">
        <v>201</v>
      </c>
      <c r="C9" s="675"/>
      <c r="D9" s="676"/>
      <c r="E9" s="669"/>
      <c r="F9" s="669"/>
      <c r="G9" s="669"/>
      <c r="H9" s="669"/>
      <c r="I9" s="669"/>
      <c r="J9" s="669"/>
      <c r="K9" s="669"/>
      <c r="L9" s="669"/>
      <c r="M9" s="669"/>
      <c r="N9" s="669"/>
      <c r="O9" s="669"/>
      <c r="P9" s="669"/>
      <c r="Q9" s="669"/>
      <c r="R9" s="669"/>
      <c r="S9" s="669"/>
      <c r="T9" s="669"/>
      <c r="U9" s="554"/>
      <c r="V9" s="555"/>
      <c r="W9" s="555"/>
      <c r="X9" s="555"/>
      <c r="Y9" s="555"/>
      <c r="Z9" s="555"/>
      <c r="AA9" s="555"/>
      <c r="AB9" s="555"/>
      <c r="AC9" s="555"/>
      <c r="AD9" s="555"/>
      <c r="AE9" s="555"/>
      <c r="AF9" s="556"/>
      <c r="AG9" s="679"/>
      <c r="AH9" s="679"/>
      <c r="AI9" s="679"/>
      <c r="AJ9" s="679"/>
      <c r="AK9" s="223"/>
      <c r="AL9" s="554"/>
      <c r="AM9" s="555"/>
      <c r="AN9" s="555"/>
      <c r="AO9" s="555"/>
      <c r="AP9" s="555"/>
      <c r="AQ9" s="555"/>
      <c r="AR9" s="555"/>
      <c r="AS9" s="555"/>
      <c r="AT9" s="556"/>
      <c r="AU9" s="470"/>
      <c r="AV9" s="561"/>
      <c r="AW9" s="561"/>
      <c r="AX9" s="561"/>
      <c r="AY9" s="561"/>
      <c r="AZ9" s="561"/>
      <c r="BA9" s="179"/>
      <c r="BB9" s="179"/>
      <c r="BC9" s="179"/>
      <c r="BD9" s="179"/>
      <c r="BE9" s="179"/>
      <c r="BF9" s="179"/>
      <c r="BG9" s="179"/>
      <c r="BH9" s="179"/>
      <c r="BI9" s="179"/>
      <c r="BJ9" s="179"/>
      <c r="BK9" s="179"/>
      <c r="BL9" s="179"/>
      <c r="BM9" s="179"/>
      <c r="BN9" s="179"/>
      <c r="BO9" s="179"/>
      <c r="BP9" s="179"/>
      <c r="BQ9" s="179"/>
      <c r="BR9" s="179"/>
      <c r="BS9" s="179"/>
      <c r="BT9" s="179"/>
      <c r="BU9" s="179"/>
      <c r="BV9" s="179"/>
      <c r="BW9" s="179"/>
      <c r="BX9" s="179"/>
      <c r="BY9" s="179"/>
      <c r="BZ9" s="179"/>
      <c r="CA9" s="179"/>
      <c r="CB9" s="179"/>
      <c r="CC9" s="179"/>
      <c r="CD9" s="179"/>
      <c r="CE9" s="179"/>
      <c r="CF9" s="179"/>
      <c r="CG9" s="179"/>
      <c r="CH9" s="179"/>
      <c r="CI9" s="179"/>
      <c r="CJ9" s="179"/>
      <c r="CK9" s="179"/>
      <c r="CL9" s="179"/>
      <c r="CM9" s="179"/>
      <c r="CN9" s="179"/>
      <c r="CO9" s="179"/>
      <c r="CP9" s="179"/>
      <c r="CQ9" s="179"/>
      <c r="CR9" s="179"/>
      <c r="CS9" s="179"/>
      <c r="CT9" s="179"/>
      <c r="CU9" s="179"/>
      <c r="CV9" s="179"/>
      <c r="CW9" s="179"/>
      <c r="CX9" s="179"/>
      <c r="CY9" s="179"/>
      <c r="CZ9" s="179"/>
      <c r="DA9" s="179"/>
      <c r="DB9" s="179"/>
      <c r="DC9" s="179"/>
      <c r="DD9" s="179"/>
      <c r="DE9" s="179"/>
      <c r="DF9" s="179"/>
      <c r="DG9" s="179"/>
      <c r="DH9" s="179"/>
      <c r="DI9" s="179"/>
      <c r="DJ9" s="179"/>
      <c r="DK9" s="179"/>
      <c r="DL9" s="179"/>
      <c r="DM9" s="179"/>
      <c r="DN9" s="179"/>
      <c r="DO9" s="179"/>
      <c r="DP9" s="179"/>
      <c r="DQ9" s="179"/>
      <c r="DR9" s="179"/>
      <c r="DS9" s="179"/>
      <c r="DT9" s="179"/>
      <c r="DU9" s="179"/>
      <c r="DV9" s="179"/>
      <c r="DW9" s="179"/>
      <c r="DX9" s="179"/>
      <c r="DY9" s="179"/>
      <c r="DZ9" s="179"/>
      <c r="EA9" s="179"/>
      <c r="EB9" s="179"/>
      <c r="EC9" s="179"/>
      <c r="ED9" s="179"/>
      <c r="EE9" s="179"/>
      <c r="EF9" s="179"/>
      <c r="EG9" s="179"/>
      <c r="EH9" s="179"/>
      <c r="EI9" s="179"/>
      <c r="EJ9" s="179"/>
      <c r="EK9" s="179"/>
      <c r="EL9" s="179"/>
      <c r="EM9" s="179"/>
      <c r="EN9" s="179"/>
      <c r="EO9" s="179"/>
      <c r="EP9" s="179"/>
      <c r="FH9" s="33"/>
      <c r="FI9" s="33"/>
      <c r="FJ9" s="33"/>
      <c r="FK9" s="33"/>
      <c r="FL9" s="33"/>
      <c r="FM9" s="33"/>
      <c r="FN9" s="684">
        <f t="shared" si="1"/>
        <v>0</v>
      </c>
      <c r="FO9" s="685"/>
      <c r="FP9" s="685"/>
      <c r="FQ9" s="686"/>
      <c r="FR9" s="33"/>
      <c r="FT9" s="684">
        <f t="shared" si="0"/>
        <v>0</v>
      </c>
      <c r="FU9" s="685"/>
      <c r="FV9" s="685"/>
      <c r="FW9" s="686"/>
    </row>
    <row r="10" spans="1:179" s="32" customFormat="1" ht="33.6" customHeight="1" x14ac:dyDescent="0.25">
      <c r="B10" s="674" t="s">
        <v>202</v>
      </c>
      <c r="C10" s="675"/>
      <c r="D10" s="676"/>
      <c r="E10" s="669"/>
      <c r="F10" s="669"/>
      <c r="G10" s="669"/>
      <c r="H10" s="669"/>
      <c r="I10" s="669"/>
      <c r="J10" s="669"/>
      <c r="K10" s="669"/>
      <c r="L10" s="669"/>
      <c r="M10" s="669"/>
      <c r="N10" s="669"/>
      <c r="O10" s="669"/>
      <c r="P10" s="669"/>
      <c r="Q10" s="669"/>
      <c r="R10" s="669"/>
      <c r="S10" s="669"/>
      <c r="T10" s="669"/>
      <c r="U10" s="554"/>
      <c r="V10" s="555"/>
      <c r="W10" s="555"/>
      <c r="X10" s="555"/>
      <c r="Y10" s="555"/>
      <c r="Z10" s="555"/>
      <c r="AA10" s="555"/>
      <c r="AB10" s="555"/>
      <c r="AC10" s="555"/>
      <c r="AD10" s="555"/>
      <c r="AE10" s="555"/>
      <c r="AF10" s="556"/>
      <c r="AG10" s="679"/>
      <c r="AH10" s="679"/>
      <c r="AI10" s="679"/>
      <c r="AJ10" s="679"/>
      <c r="AK10" s="223"/>
      <c r="AL10" s="554"/>
      <c r="AM10" s="555"/>
      <c r="AN10" s="555"/>
      <c r="AO10" s="555"/>
      <c r="AP10" s="555"/>
      <c r="AQ10" s="555"/>
      <c r="AR10" s="555"/>
      <c r="AS10" s="555"/>
      <c r="AT10" s="556"/>
      <c r="AU10" s="470"/>
      <c r="AV10" s="561"/>
      <c r="AW10" s="561"/>
      <c r="AX10" s="561"/>
      <c r="AY10" s="561"/>
      <c r="AZ10" s="561"/>
      <c r="BA10" s="179"/>
      <c r="BB10" s="179"/>
      <c r="BC10" s="179"/>
      <c r="BD10" s="179"/>
      <c r="BE10" s="179"/>
      <c r="BF10" s="179"/>
      <c r="BG10" s="179"/>
      <c r="BH10" s="179"/>
      <c r="BI10" s="179"/>
      <c r="BJ10" s="179"/>
      <c r="BK10" s="179"/>
      <c r="BL10" s="179"/>
      <c r="BM10" s="179"/>
      <c r="BN10" s="179"/>
      <c r="BO10" s="179"/>
      <c r="BP10" s="179"/>
      <c r="BQ10" s="179"/>
      <c r="BR10" s="179"/>
      <c r="BS10" s="179"/>
      <c r="BT10" s="179"/>
      <c r="BU10" s="179"/>
      <c r="BV10" s="179"/>
      <c r="BW10" s="179"/>
      <c r="BX10" s="179"/>
      <c r="BY10" s="179"/>
      <c r="BZ10" s="179"/>
      <c r="CA10" s="179"/>
      <c r="CB10" s="179"/>
      <c r="CC10" s="179"/>
      <c r="CD10" s="179"/>
      <c r="CE10" s="179"/>
      <c r="CF10" s="179"/>
      <c r="CG10" s="179"/>
      <c r="CH10" s="179"/>
      <c r="CI10" s="179"/>
      <c r="CJ10" s="179"/>
      <c r="CK10" s="179"/>
      <c r="CL10" s="179"/>
      <c r="CM10" s="179"/>
      <c r="CN10" s="179"/>
      <c r="CO10" s="179"/>
      <c r="CP10" s="179"/>
      <c r="CQ10" s="179"/>
      <c r="CR10" s="179"/>
      <c r="CS10" s="179"/>
      <c r="CT10" s="179"/>
      <c r="CU10" s="179"/>
      <c r="CV10" s="179"/>
      <c r="CW10" s="179"/>
      <c r="CX10" s="179"/>
      <c r="CY10" s="179"/>
      <c r="CZ10" s="179"/>
      <c r="DA10" s="179"/>
      <c r="DB10" s="179"/>
      <c r="DC10" s="179"/>
      <c r="DD10" s="179"/>
      <c r="DE10" s="179"/>
      <c r="DF10" s="179"/>
      <c r="DG10" s="179"/>
      <c r="DH10" s="179"/>
      <c r="DI10" s="179"/>
      <c r="DJ10" s="179"/>
      <c r="DK10" s="179"/>
      <c r="DL10" s="179"/>
      <c r="DM10" s="179"/>
      <c r="DN10" s="179"/>
      <c r="DO10" s="179"/>
      <c r="DP10" s="179"/>
      <c r="DQ10" s="179"/>
      <c r="DR10" s="179"/>
      <c r="DS10" s="179"/>
      <c r="DT10" s="179"/>
      <c r="DU10" s="179"/>
      <c r="DV10" s="179"/>
      <c r="DW10" s="179"/>
      <c r="DX10" s="179"/>
      <c r="DY10" s="179"/>
      <c r="DZ10" s="179"/>
      <c r="EA10" s="179"/>
      <c r="EB10" s="179"/>
      <c r="EC10" s="179"/>
      <c r="ED10" s="179"/>
      <c r="EE10" s="179"/>
      <c r="EF10" s="179"/>
      <c r="EG10" s="179"/>
      <c r="EH10" s="179"/>
      <c r="EI10" s="179"/>
      <c r="EJ10" s="179"/>
      <c r="EK10" s="179"/>
      <c r="EL10" s="179"/>
      <c r="EM10" s="179"/>
      <c r="EN10" s="179"/>
      <c r="EO10" s="179"/>
      <c r="EP10" s="179"/>
      <c r="FH10" s="33"/>
      <c r="FI10" s="33"/>
      <c r="FJ10" s="33"/>
      <c r="FK10" s="33"/>
      <c r="FL10" s="33"/>
      <c r="FM10" s="33"/>
      <c r="FN10" s="684">
        <f t="shared" si="1"/>
        <v>0</v>
      </c>
      <c r="FO10" s="685"/>
      <c r="FP10" s="685"/>
      <c r="FQ10" s="686"/>
      <c r="FR10" s="33"/>
      <c r="FT10" s="684">
        <f t="shared" si="0"/>
        <v>0</v>
      </c>
      <c r="FU10" s="685"/>
      <c r="FV10" s="685"/>
      <c r="FW10" s="686"/>
    </row>
    <row r="11" spans="1:179" s="32" customFormat="1" ht="33.6" customHeight="1" x14ac:dyDescent="0.25">
      <c r="B11" s="674" t="s">
        <v>203</v>
      </c>
      <c r="C11" s="675"/>
      <c r="D11" s="676"/>
      <c r="E11" s="669"/>
      <c r="F11" s="669"/>
      <c r="G11" s="669"/>
      <c r="H11" s="669"/>
      <c r="I11" s="669"/>
      <c r="J11" s="669"/>
      <c r="K11" s="669"/>
      <c r="L11" s="669"/>
      <c r="M11" s="669"/>
      <c r="N11" s="669"/>
      <c r="O11" s="669"/>
      <c r="P11" s="669"/>
      <c r="Q11" s="669"/>
      <c r="R11" s="669"/>
      <c r="S11" s="669"/>
      <c r="T11" s="669"/>
      <c r="U11" s="554"/>
      <c r="V11" s="555"/>
      <c r="W11" s="555"/>
      <c r="X11" s="555"/>
      <c r="Y11" s="555"/>
      <c r="Z11" s="555"/>
      <c r="AA11" s="555"/>
      <c r="AB11" s="555"/>
      <c r="AC11" s="555"/>
      <c r="AD11" s="555"/>
      <c r="AE11" s="555"/>
      <c r="AF11" s="556"/>
      <c r="AG11" s="679"/>
      <c r="AH11" s="679"/>
      <c r="AI11" s="679"/>
      <c r="AJ11" s="679"/>
      <c r="AK11" s="223"/>
      <c r="AL11" s="554"/>
      <c r="AM11" s="555"/>
      <c r="AN11" s="555"/>
      <c r="AO11" s="555"/>
      <c r="AP11" s="555"/>
      <c r="AQ11" s="555"/>
      <c r="AR11" s="555"/>
      <c r="AS11" s="555"/>
      <c r="AT11" s="556"/>
      <c r="AU11" s="470"/>
      <c r="AV11" s="561"/>
      <c r="AW11" s="561"/>
      <c r="AX11" s="561"/>
      <c r="AY11" s="561"/>
      <c r="AZ11" s="561"/>
      <c r="BA11" s="179"/>
      <c r="BB11" s="179"/>
      <c r="BC11" s="179"/>
      <c r="BD11" s="179"/>
      <c r="BE11" s="179"/>
      <c r="BF11" s="179"/>
      <c r="BG11" s="179"/>
      <c r="BH11" s="179"/>
      <c r="BI11" s="179"/>
      <c r="BJ11" s="179"/>
      <c r="BK11" s="179"/>
      <c r="BL11" s="179"/>
      <c r="BM11" s="179"/>
      <c r="BN11" s="179"/>
      <c r="BO11" s="179"/>
      <c r="BP11" s="179"/>
      <c r="BQ11" s="179"/>
      <c r="BR11" s="179"/>
      <c r="BS11" s="179"/>
      <c r="BT11" s="179"/>
      <c r="BU11" s="179"/>
      <c r="BV11" s="179"/>
      <c r="BW11" s="179"/>
      <c r="BX11" s="179"/>
      <c r="BY11" s="179"/>
      <c r="BZ11" s="179"/>
      <c r="CA11" s="179"/>
      <c r="CB11" s="179"/>
      <c r="CC11" s="179"/>
      <c r="CD11" s="179"/>
      <c r="CE11" s="179"/>
      <c r="CF11" s="179"/>
      <c r="CG11" s="179"/>
      <c r="CH11" s="179"/>
      <c r="CI11" s="179"/>
      <c r="CJ11" s="179"/>
      <c r="CK11" s="179"/>
      <c r="CL11" s="179"/>
      <c r="CM11" s="179"/>
      <c r="CN11" s="179"/>
      <c r="CO11" s="179"/>
      <c r="CP11" s="179"/>
      <c r="CQ11" s="179"/>
      <c r="CR11" s="179"/>
      <c r="CS11" s="179"/>
      <c r="CT11" s="179"/>
      <c r="CU11" s="179"/>
      <c r="CV11" s="179"/>
      <c r="CW11" s="179"/>
      <c r="CX11" s="179"/>
      <c r="CY11" s="179"/>
      <c r="CZ11" s="179"/>
      <c r="DA11" s="179"/>
      <c r="DB11" s="179"/>
      <c r="DC11" s="179"/>
      <c r="DD11" s="179"/>
      <c r="DE11" s="179"/>
      <c r="DF11" s="179"/>
      <c r="DG11" s="179"/>
      <c r="DH11" s="179"/>
      <c r="DI11" s="179"/>
      <c r="DJ11" s="179"/>
      <c r="DK11" s="179"/>
      <c r="DL11" s="179"/>
      <c r="DM11" s="179"/>
      <c r="DN11" s="179"/>
      <c r="DO11" s="179"/>
      <c r="DP11" s="179"/>
      <c r="DQ11" s="179"/>
      <c r="DR11" s="179"/>
      <c r="DS11" s="179"/>
      <c r="DT11" s="179"/>
      <c r="DU11" s="179"/>
      <c r="DV11" s="179"/>
      <c r="DW11" s="179"/>
      <c r="DX11" s="179"/>
      <c r="DY11" s="179"/>
      <c r="DZ11" s="179"/>
      <c r="EA11" s="179"/>
      <c r="EB11" s="179"/>
      <c r="EC11" s="179"/>
      <c r="ED11" s="179"/>
      <c r="EE11" s="179"/>
      <c r="EF11" s="179"/>
      <c r="EG11" s="179"/>
      <c r="EH11" s="179"/>
      <c r="EI11" s="179"/>
      <c r="EJ11" s="179"/>
      <c r="EK11" s="179"/>
      <c r="EL11" s="179"/>
      <c r="EM11" s="179"/>
      <c r="EN11" s="179"/>
      <c r="EO11" s="179"/>
      <c r="EP11" s="179"/>
      <c r="FH11" s="33"/>
      <c r="FI11" s="33"/>
      <c r="FJ11" s="33"/>
      <c r="FK11" s="33"/>
      <c r="FL11" s="33"/>
      <c r="FM11" s="33"/>
      <c r="FN11" s="684">
        <f t="shared" si="1"/>
        <v>0</v>
      </c>
      <c r="FO11" s="685"/>
      <c r="FP11" s="685"/>
      <c r="FQ11" s="686"/>
      <c r="FR11" s="33"/>
      <c r="FT11" s="684">
        <f t="shared" si="0"/>
        <v>0</v>
      </c>
      <c r="FU11" s="685"/>
      <c r="FV11" s="685"/>
      <c r="FW11" s="686"/>
    </row>
    <row r="12" spans="1:179" s="32" customFormat="1" ht="33.6" customHeight="1" x14ac:dyDescent="0.25">
      <c r="B12" s="674" t="s">
        <v>204</v>
      </c>
      <c r="C12" s="675"/>
      <c r="D12" s="676"/>
      <c r="E12" s="669" t="s">
        <v>9</v>
      </c>
      <c r="F12" s="669"/>
      <c r="G12" s="669"/>
      <c r="H12" s="669"/>
      <c r="I12" s="669"/>
      <c r="J12" s="669"/>
      <c r="K12" s="669"/>
      <c r="L12" s="669"/>
      <c r="M12" s="669"/>
      <c r="N12" s="669"/>
      <c r="O12" s="669"/>
      <c r="P12" s="669"/>
      <c r="Q12" s="669"/>
      <c r="R12" s="669"/>
      <c r="S12" s="669"/>
      <c r="T12" s="669"/>
      <c r="U12" s="554"/>
      <c r="V12" s="555"/>
      <c r="W12" s="555"/>
      <c r="X12" s="555"/>
      <c r="Y12" s="555"/>
      <c r="Z12" s="555"/>
      <c r="AA12" s="555"/>
      <c r="AB12" s="555"/>
      <c r="AC12" s="555"/>
      <c r="AD12" s="555"/>
      <c r="AE12" s="555"/>
      <c r="AF12" s="556"/>
      <c r="AG12" s="679"/>
      <c r="AH12" s="679"/>
      <c r="AI12" s="679"/>
      <c r="AJ12" s="679"/>
      <c r="AK12" s="223"/>
      <c r="AL12" s="554"/>
      <c r="AM12" s="555"/>
      <c r="AN12" s="555"/>
      <c r="AO12" s="555"/>
      <c r="AP12" s="555"/>
      <c r="AQ12" s="555"/>
      <c r="AR12" s="555"/>
      <c r="AS12" s="555"/>
      <c r="AT12" s="556"/>
      <c r="AU12" s="470"/>
      <c r="AV12" s="561"/>
      <c r="AW12" s="561"/>
      <c r="AX12" s="561"/>
      <c r="AY12" s="561"/>
      <c r="AZ12" s="561"/>
      <c r="BA12" s="179"/>
      <c r="BB12" s="179"/>
      <c r="BC12" s="179"/>
      <c r="BD12" s="179"/>
      <c r="BE12" s="179"/>
      <c r="BF12" s="179"/>
      <c r="BG12" s="179"/>
      <c r="BH12" s="179"/>
      <c r="BI12" s="179"/>
      <c r="BJ12" s="179"/>
      <c r="BK12" s="179"/>
      <c r="BL12" s="179"/>
      <c r="BM12" s="179"/>
      <c r="BN12" s="179"/>
      <c r="BO12" s="179"/>
      <c r="BP12" s="179"/>
      <c r="BQ12" s="179"/>
      <c r="BR12" s="179"/>
      <c r="BS12" s="179"/>
      <c r="BT12" s="179"/>
      <c r="BU12" s="179"/>
      <c r="BV12" s="179"/>
      <c r="BW12" s="179"/>
      <c r="BX12" s="179"/>
      <c r="BY12" s="179"/>
      <c r="BZ12" s="179"/>
      <c r="CA12" s="179"/>
      <c r="CB12" s="179"/>
      <c r="CC12" s="179"/>
      <c r="CD12" s="179"/>
      <c r="CE12" s="179"/>
      <c r="CF12" s="179"/>
      <c r="CG12" s="179"/>
      <c r="CH12" s="179"/>
      <c r="CI12" s="179"/>
      <c r="CJ12" s="179"/>
      <c r="CK12" s="179"/>
      <c r="CL12" s="179"/>
      <c r="CM12" s="179"/>
      <c r="CN12" s="179"/>
      <c r="CO12" s="179"/>
      <c r="CP12" s="179"/>
      <c r="CQ12" s="179"/>
      <c r="CR12" s="179"/>
      <c r="CS12" s="179"/>
      <c r="CT12" s="179"/>
      <c r="CU12" s="179"/>
      <c r="CV12" s="179"/>
      <c r="CW12" s="179"/>
      <c r="CX12" s="179"/>
      <c r="CY12" s="179"/>
      <c r="CZ12" s="179"/>
      <c r="DA12" s="179"/>
      <c r="DB12" s="179"/>
      <c r="DC12" s="179"/>
      <c r="DD12" s="179"/>
      <c r="DE12" s="179"/>
      <c r="DF12" s="179"/>
      <c r="DG12" s="179"/>
      <c r="DH12" s="179"/>
      <c r="DI12" s="179"/>
      <c r="DJ12" s="179"/>
      <c r="DK12" s="179"/>
      <c r="DL12" s="179"/>
      <c r="DM12" s="179"/>
      <c r="DN12" s="179"/>
      <c r="DO12" s="179"/>
      <c r="DP12" s="179"/>
      <c r="DQ12" s="179"/>
      <c r="DR12" s="179"/>
      <c r="DS12" s="179"/>
      <c r="DT12" s="179"/>
      <c r="DU12" s="179"/>
      <c r="DV12" s="179"/>
      <c r="DW12" s="179"/>
      <c r="DX12" s="179"/>
      <c r="DY12" s="179"/>
      <c r="DZ12" s="179"/>
      <c r="EA12" s="179"/>
      <c r="EB12" s="179"/>
      <c r="EC12" s="179"/>
      <c r="ED12" s="179"/>
      <c r="EE12" s="179"/>
      <c r="EF12" s="179"/>
      <c r="EG12" s="179"/>
      <c r="EH12" s="179"/>
      <c r="EI12" s="179"/>
      <c r="EJ12" s="179"/>
      <c r="EK12" s="179"/>
      <c r="EL12" s="179"/>
      <c r="EM12" s="179"/>
      <c r="EN12" s="179"/>
      <c r="EO12" s="179"/>
      <c r="EP12" s="179"/>
      <c r="FH12" s="33"/>
      <c r="FI12" s="33"/>
      <c r="FJ12" s="33"/>
      <c r="FK12" s="33"/>
      <c r="FL12" s="33"/>
      <c r="FM12" s="33"/>
      <c r="FN12" s="684">
        <f t="shared" si="1"/>
        <v>0</v>
      </c>
      <c r="FO12" s="685"/>
      <c r="FP12" s="685"/>
      <c r="FQ12" s="686"/>
      <c r="FR12" s="33"/>
      <c r="FT12" s="684">
        <f t="shared" si="0"/>
        <v>0</v>
      </c>
      <c r="FU12" s="685"/>
      <c r="FV12" s="685"/>
      <c r="FW12" s="686"/>
    </row>
    <row r="13" spans="1:179" s="32" customFormat="1" ht="33.6" customHeight="1" x14ac:dyDescent="0.25">
      <c r="B13" s="674" t="s">
        <v>238</v>
      </c>
      <c r="C13" s="675"/>
      <c r="D13" s="676"/>
      <c r="E13" s="669" t="s">
        <v>9</v>
      </c>
      <c r="F13" s="669"/>
      <c r="G13" s="669"/>
      <c r="H13" s="669"/>
      <c r="I13" s="669"/>
      <c r="J13" s="669"/>
      <c r="K13" s="669"/>
      <c r="L13" s="669"/>
      <c r="M13" s="669"/>
      <c r="N13" s="669"/>
      <c r="O13" s="669"/>
      <c r="P13" s="669"/>
      <c r="Q13" s="669"/>
      <c r="R13" s="669"/>
      <c r="S13" s="669"/>
      <c r="T13" s="669"/>
      <c r="U13" s="554"/>
      <c r="V13" s="555"/>
      <c r="W13" s="555"/>
      <c r="X13" s="555"/>
      <c r="Y13" s="555"/>
      <c r="Z13" s="555"/>
      <c r="AA13" s="555"/>
      <c r="AB13" s="555"/>
      <c r="AC13" s="555"/>
      <c r="AD13" s="555"/>
      <c r="AE13" s="555"/>
      <c r="AF13" s="556"/>
      <c r="AG13" s="679"/>
      <c r="AH13" s="679"/>
      <c r="AI13" s="679"/>
      <c r="AJ13" s="679"/>
      <c r="AK13" s="223"/>
      <c r="AL13" s="554"/>
      <c r="AM13" s="555"/>
      <c r="AN13" s="555"/>
      <c r="AO13" s="555"/>
      <c r="AP13" s="555"/>
      <c r="AQ13" s="555"/>
      <c r="AR13" s="555"/>
      <c r="AS13" s="555"/>
      <c r="AT13" s="556"/>
      <c r="AU13" s="470"/>
      <c r="AV13" s="561"/>
      <c r="AW13" s="561"/>
      <c r="AX13" s="561"/>
      <c r="AY13" s="561"/>
      <c r="AZ13" s="561"/>
      <c r="BA13" s="179"/>
      <c r="BB13" s="179"/>
      <c r="BC13" s="179"/>
      <c r="BD13" s="179"/>
      <c r="BE13" s="179"/>
      <c r="BF13" s="179"/>
      <c r="BG13" s="179"/>
      <c r="BH13" s="179"/>
      <c r="BI13" s="179"/>
      <c r="BJ13" s="179"/>
      <c r="BK13" s="179"/>
      <c r="BL13" s="179"/>
      <c r="BM13" s="179"/>
      <c r="BN13" s="179"/>
      <c r="BO13" s="179"/>
      <c r="BP13" s="179"/>
      <c r="BQ13" s="179"/>
      <c r="BR13" s="179"/>
      <c r="BS13" s="179"/>
      <c r="BT13" s="179"/>
      <c r="BU13" s="179"/>
      <c r="BV13" s="179"/>
      <c r="BW13" s="179"/>
      <c r="BX13" s="179"/>
      <c r="BY13" s="179"/>
      <c r="BZ13" s="179"/>
      <c r="CA13" s="179"/>
      <c r="CB13" s="179"/>
      <c r="CC13" s="179"/>
      <c r="CD13" s="179"/>
      <c r="CE13" s="179"/>
      <c r="CF13" s="179"/>
      <c r="CG13" s="179"/>
      <c r="CH13" s="179"/>
      <c r="CI13" s="179"/>
      <c r="CJ13" s="179"/>
      <c r="CK13" s="179"/>
      <c r="CL13" s="179"/>
      <c r="CM13" s="179"/>
      <c r="CN13" s="179"/>
      <c r="CO13" s="179"/>
      <c r="CP13" s="179"/>
      <c r="CQ13" s="179"/>
      <c r="CR13" s="179"/>
      <c r="CS13" s="179"/>
      <c r="CT13" s="179"/>
      <c r="CU13" s="179"/>
      <c r="CV13" s="179"/>
      <c r="CW13" s="179"/>
      <c r="CX13" s="179"/>
      <c r="CY13" s="179"/>
      <c r="CZ13" s="179"/>
      <c r="DA13" s="179"/>
      <c r="DB13" s="179"/>
      <c r="DC13" s="179"/>
      <c r="DD13" s="179"/>
      <c r="DE13" s="179"/>
      <c r="DF13" s="179"/>
      <c r="DG13" s="179"/>
      <c r="DH13" s="179"/>
      <c r="DI13" s="179"/>
      <c r="DJ13" s="179"/>
      <c r="DK13" s="179"/>
      <c r="DL13" s="179"/>
      <c r="DM13" s="179"/>
      <c r="DN13" s="179"/>
      <c r="DO13" s="179"/>
      <c r="DP13" s="179"/>
      <c r="DQ13" s="179"/>
      <c r="DR13" s="179"/>
      <c r="DS13" s="179"/>
      <c r="DT13" s="179"/>
      <c r="DU13" s="179"/>
      <c r="DV13" s="179"/>
      <c r="DW13" s="179"/>
      <c r="DX13" s="179"/>
      <c r="DY13" s="179"/>
      <c r="DZ13" s="179"/>
      <c r="EA13" s="179"/>
      <c r="EB13" s="179"/>
      <c r="EC13" s="179"/>
      <c r="ED13" s="179"/>
      <c r="EE13" s="179"/>
      <c r="EF13" s="179"/>
      <c r="EG13" s="179"/>
      <c r="EH13" s="179"/>
      <c r="EI13" s="179"/>
      <c r="EJ13" s="179"/>
      <c r="EK13" s="179"/>
      <c r="EL13" s="179"/>
      <c r="EM13" s="179"/>
      <c r="EN13" s="179"/>
      <c r="EO13" s="179"/>
      <c r="EP13" s="179"/>
      <c r="FH13" s="33"/>
      <c r="FI13" s="33"/>
      <c r="FJ13" s="33"/>
      <c r="FK13" s="33"/>
      <c r="FL13" s="33"/>
      <c r="FM13" s="33"/>
      <c r="FN13" s="684">
        <f t="shared" si="1"/>
        <v>0</v>
      </c>
      <c r="FO13" s="685"/>
      <c r="FP13" s="685"/>
      <c r="FQ13" s="686"/>
      <c r="FR13" s="33"/>
      <c r="FT13" s="684">
        <f t="shared" si="0"/>
        <v>0</v>
      </c>
      <c r="FU13" s="685"/>
      <c r="FV13" s="685"/>
      <c r="FW13" s="686"/>
    </row>
    <row r="14" spans="1:179" s="32" customFormat="1" ht="33.6" customHeight="1" x14ac:dyDescent="0.25">
      <c r="B14" s="674" t="s">
        <v>239</v>
      </c>
      <c r="C14" s="675"/>
      <c r="D14" s="676"/>
      <c r="E14" s="669" t="s">
        <v>9</v>
      </c>
      <c r="F14" s="669"/>
      <c r="G14" s="669"/>
      <c r="H14" s="669"/>
      <c r="I14" s="669"/>
      <c r="J14" s="669"/>
      <c r="K14" s="669"/>
      <c r="L14" s="669"/>
      <c r="M14" s="669"/>
      <c r="N14" s="669"/>
      <c r="O14" s="669"/>
      <c r="P14" s="669"/>
      <c r="Q14" s="669"/>
      <c r="R14" s="669"/>
      <c r="S14" s="669"/>
      <c r="T14" s="669"/>
      <c r="U14" s="554"/>
      <c r="V14" s="555"/>
      <c r="W14" s="555"/>
      <c r="X14" s="555"/>
      <c r="Y14" s="555"/>
      <c r="Z14" s="555"/>
      <c r="AA14" s="555"/>
      <c r="AB14" s="555"/>
      <c r="AC14" s="555"/>
      <c r="AD14" s="555"/>
      <c r="AE14" s="555"/>
      <c r="AF14" s="556"/>
      <c r="AG14" s="679"/>
      <c r="AH14" s="679"/>
      <c r="AI14" s="679"/>
      <c r="AJ14" s="679"/>
      <c r="AK14" s="223"/>
      <c r="AL14" s="554"/>
      <c r="AM14" s="555"/>
      <c r="AN14" s="555"/>
      <c r="AO14" s="555"/>
      <c r="AP14" s="555"/>
      <c r="AQ14" s="555"/>
      <c r="AR14" s="555"/>
      <c r="AS14" s="555"/>
      <c r="AT14" s="556"/>
      <c r="AU14" s="470"/>
      <c r="AV14" s="561"/>
      <c r="AW14" s="561"/>
      <c r="AX14" s="561"/>
      <c r="AY14" s="561"/>
      <c r="AZ14" s="561"/>
      <c r="BA14" s="179"/>
      <c r="BB14" s="179"/>
      <c r="BC14" s="179"/>
      <c r="BD14" s="179"/>
      <c r="BE14" s="179"/>
      <c r="BF14" s="179"/>
      <c r="BG14" s="179"/>
      <c r="BH14" s="179"/>
      <c r="BI14" s="179"/>
      <c r="BJ14" s="179"/>
      <c r="BK14" s="179"/>
      <c r="BL14" s="179"/>
      <c r="BM14" s="179"/>
      <c r="BN14" s="179"/>
      <c r="BO14" s="179"/>
      <c r="BP14" s="179"/>
      <c r="BQ14" s="179"/>
      <c r="BR14" s="179"/>
      <c r="BS14" s="179"/>
      <c r="BT14" s="179"/>
      <c r="BU14" s="179"/>
      <c r="BV14" s="179"/>
      <c r="BW14" s="179"/>
      <c r="BX14" s="179"/>
      <c r="BY14" s="179"/>
      <c r="BZ14" s="179"/>
      <c r="CA14" s="179"/>
      <c r="CB14" s="179"/>
      <c r="CC14" s="179"/>
      <c r="CD14" s="179"/>
      <c r="CE14" s="179"/>
      <c r="CF14" s="179"/>
      <c r="CG14" s="179"/>
      <c r="CH14" s="179"/>
      <c r="CI14" s="179"/>
      <c r="CJ14" s="179"/>
      <c r="CK14" s="179"/>
      <c r="CL14" s="179"/>
      <c r="CM14" s="179"/>
      <c r="CN14" s="179"/>
      <c r="CO14" s="179"/>
      <c r="CP14" s="179"/>
      <c r="CQ14" s="179"/>
      <c r="CR14" s="179"/>
      <c r="CS14" s="179"/>
      <c r="CT14" s="179"/>
      <c r="CU14" s="179"/>
      <c r="CV14" s="179"/>
      <c r="CW14" s="179"/>
      <c r="CX14" s="179"/>
      <c r="CY14" s="179"/>
      <c r="CZ14" s="179"/>
      <c r="DA14" s="179"/>
      <c r="DB14" s="179"/>
      <c r="DC14" s="179"/>
      <c r="DD14" s="179"/>
      <c r="DE14" s="179"/>
      <c r="DF14" s="179"/>
      <c r="DG14" s="179"/>
      <c r="DH14" s="179"/>
      <c r="DI14" s="179"/>
      <c r="DJ14" s="179"/>
      <c r="DK14" s="179"/>
      <c r="DL14" s="179"/>
      <c r="DM14" s="179"/>
      <c r="DN14" s="179"/>
      <c r="DO14" s="179"/>
      <c r="DP14" s="179"/>
      <c r="DQ14" s="179"/>
      <c r="DR14" s="179"/>
      <c r="DS14" s="179"/>
      <c r="DT14" s="179"/>
      <c r="DU14" s="179"/>
      <c r="DV14" s="179"/>
      <c r="DW14" s="179"/>
      <c r="DX14" s="179"/>
      <c r="DY14" s="179"/>
      <c r="DZ14" s="179"/>
      <c r="EA14" s="179"/>
      <c r="EB14" s="179"/>
      <c r="EC14" s="179"/>
      <c r="ED14" s="179"/>
      <c r="EE14" s="179"/>
      <c r="EF14" s="179"/>
      <c r="EG14" s="179"/>
      <c r="EH14" s="179"/>
      <c r="EI14" s="179"/>
      <c r="EJ14" s="179"/>
      <c r="EK14" s="179"/>
      <c r="EL14" s="179"/>
      <c r="EM14" s="179"/>
      <c r="EN14" s="179"/>
      <c r="EO14" s="179"/>
      <c r="EP14" s="179"/>
      <c r="FH14" s="33"/>
      <c r="FI14" s="33"/>
      <c r="FJ14" s="33"/>
      <c r="FK14" s="33"/>
      <c r="FL14" s="33"/>
      <c r="FM14" s="33"/>
      <c r="FN14" s="684">
        <f t="shared" si="1"/>
        <v>0</v>
      </c>
      <c r="FO14" s="685"/>
      <c r="FP14" s="685"/>
      <c r="FQ14" s="686"/>
      <c r="FR14" s="33"/>
      <c r="FT14" s="684">
        <f t="shared" si="0"/>
        <v>0</v>
      </c>
      <c r="FU14" s="685"/>
      <c r="FV14" s="685"/>
      <c r="FW14" s="686"/>
    </row>
    <row r="15" spans="1:179" s="32" customFormat="1" ht="33.6" customHeight="1" x14ac:dyDescent="0.25">
      <c r="B15" s="674" t="s">
        <v>240</v>
      </c>
      <c r="C15" s="675"/>
      <c r="D15" s="676"/>
      <c r="E15" s="669" t="s">
        <v>9</v>
      </c>
      <c r="F15" s="669"/>
      <c r="G15" s="669"/>
      <c r="H15" s="669"/>
      <c r="I15" s="669"/>
      <c r="J15" s="669"/>
      <c r="K15" s="669"/>
      <c r="L15" s="669"/>
      <c r="M15" s="669"/>
      <c r="N15" s="669"/>
      <c r="O15" s="669"/>
      <c r="P15" s="669"/>
      <c r="Q15" s="669"/>
      <c r="R15" s="669"/>
      <c r="S15" s="669"/>
      <c r="T15" s="669"/>
      <c r="U15" s="554"/>
      <c r="V15" s="555"/>
      <c r="W15" s="555"/>
      <c r="X15" s="555"/>
      <c r="Y15" s="555"/>
      <c r="Z15" s="555"/>
      <c r="AA15" s="555"/>
      <c r="AB15" s="555"/>
      <c r="AC15" s="555"/>
      <c r="AD15" s="555"/>
      <c r="AE15" s="555"/>
      <c r="AF15" s="556"/>
      <c r="AG15" s="679"/>
      <c r="AH15" s="679"/>
      <c r="AI15" s="679"/>
      <c r="AJ15" s="679"/>
      <c r="AK15" s="223"/>
      <c r="AL15" s="554"/>
      <c r="AM15" s="555"/>
      <c r="AN15" s="555"/>
      <c r="AO15" s="555"/>
      <c r="AP15" s="555"/>
      <c r="AQ15" s="555"/>
      <c r="AR15" s="555"/>
      <c r="AS15" s="555"/>
      <c r="AT15" s="556"/>
      <c r="AU15" s="470"/>
      <c r="AV15" s="561"/>
      <c r="AW15" s="561"/>
      <c r="AX15" s="561"/>
      <c r="AY15" s="561"/>
      <c r="AZ15" s="561"/>
      <c r="BA15" s="179"/>
      <c r="BB15" s="179"/>
      <c r="BC15" s="179"/>
      <c r="BD15" s="179"/>
      <c r="BE15" s="179"/>
      <c r="BF15" s="179"/>
      <c r="BG15" s="179"/>
      <c r="BH15" s="179"/>
      <c r="BI15" s="179"/>
      <c r="BJ15" s="179"/>
      <c r="BK15" s="179"/>
      <c r="BL15" s="179"/>
      <c r="BM15" s="179"/>
      <c r="BN15" s="179"/>
      <c r="BO15" s="179"/>
      <c r="BP15" s="179"/>
      <c r="BQ15" s="179"/>
      <c r="BR15" s="179"/>
      <c r="BS15" s="179"/>
      <c r="BT15" s="179"/>
      <c r="BU15" s="179"/>
      <c r="BV15" s="179"/>
      <c r="BW15" s="179"/>
      <c r="BX15" s="179"/>
      <c r="BY15" s="179"/>
      <c r="BZ15" s="179"/>
      <c r="CA15" s="179"/>
      <c r="CB15" s="179"/>
      <c r="CC15" s="179"/>
      <c r="CD15" s="179"/>
      <c r="CE15" s="179"/>
      <c r="CF15" s="179"/>
      <c r="CG15" s="179"/>
      <c r="CH15" s="179"/>
      <c r="CI15" s="179"/>
      <c r="CJ15" s="179"/>
      <c r="CK15" s="179"/>
      <c r="CL15" s="179"/>
      <c r="CM15" s="179"/>
      <c r="CN15" s="179"/>
      <c r="CO15" s="179"/>
      <c r="CP15" s="179"/>
      <c r="CQ15" s="179"/>
      <c r="CR15" s="179"/>
      <c r="CS15" s="179"/>
      <c r="CT15" s="179"/>
      <c r="CU15" s="179"/>
      <c r="CV15" s="179"/>
      <c r="CW15" s="179"/>
      <c r="CX15" s="179"/>
      <c r="CY15" s="179"/>
      <c r="CZ15" s="179"/>
      <c r="DA15" s="179"/>
      <c r="DB15" s="179"/>
      <c r="DC15" s="179"/>
      <c r="DD15" s="179"/>
      <c r="DE15" s="179"/>
      <c r="DF15" s="179"/>
      <c r="DG15" s="179"/>
      <c r="DH15" s="179"/>
      <c r="DI15" s="179"/>
      <c r="DJ15" s="179"/>
      <c r="DK15" s="179"/>
      <c r="DL15" s="179"/>
      <c r="DM15" s="179"/>
      <c r="DN15" s="179"/>
      <c r="DO15" s="179"/>
      <c r="DP15" s="179"/>
      <c r="DQ15" s="179"/>
      <c r="DR15" s="179"/>
      <c r="DS15" s="179"/>
      <c r="DT15" s="179"/>
      <c r="DU15" s="179"/>
      <c r="DV15" s="179"/>
      <c r="DW15" s="179"/>
      <c r="DX15" s="179"/>
      <c r="DY15" s="179"/>
      <c r="DZ15" s="179"/>
      <c r="EA15" s="179"/>
      <c r="EB15" s="179"/>
      <c r="EC15" s="179"/>
      <c r="ED15" s="179"/>
      <c r="EE15" s="179"/>
      <c r="EF15" s="179"/>
      <c r="EG15" s="179"/>
      <c r="EH15" s="179"/>
      <c r="EI15" s="179"/>
      <c r="EJ15" s="179"/>
      <c r="EK15" s="179"/>
      <c r="EL15" s="179"/>
      <c r="EM15" s="179"/>
      <c r="EN15" s="179"/>
      <c r="EO15" s="179"/>
      <c r="EP15" s="179"/>
      <c r="FH15" s="33"/>
      <c r="FI15" s="33"/>
      <c r="FJ15" s="33"/>
      <c r="FK15" s="33"/>
      <c r="FL15" s="33"/>
      <c r="FM15" s="33"/>
      <c r="FN15" s="684">
        <f t="shared" si="1"/>
        <v>0</v>
      </c>
      <c r="FO15" s="685"/>
      <c r="FP15" s="685"/>
      <c r="FQ15" s="686"/>
      <c r="FR15" s="33"/>
      <c r="FT15" s="684">
        <f t="shared" si="0"/>
        <v>0</v>
      </c>
      <c r="FU15" s="685"/>
      <c r="FV15" s="685"/>
      <c r="FW15" s="686"/>
    </row>
    <row r="16" spans="1:179" s="225" customFormat="1" ht="40.200000000000003" customHeight="1" x14ac:dyDescent="0.35">
      <c r="B16" s="581"/>
      <c r="C16" s="582"/>
      <c r="D16" s="583"/>
      <c r="E16" s="578" t="s">
        <v>315</v>
      </c>
      <c r="F16" s="579"/>
      <c r="G16" s="579"/>
      <c r="H16" s="579"/>
      <c r="I16" s="579"/>
      <c r="J16" s="579"/>
      <c r="K16" s="579"/>
      <c r="L16" s="579"/>
      <c r="M16" s="579"/>
      <c r="N16" s="579"/>
      <c r="O16" s="579"/>
      <c r="P16" s="579"/>
      <c r="Q16" s="579"/>
      <c r="R16" s="579"/>
      <c r="S16" s="579"/>
      <c r="T16" s="579"/>
      <c r="U16" s="579"/>
      <c r="V16" s="579"/>
      <c r="W16" s="579"/>
      <c r="X16" s="579"/>
      <c r="Y16" s="579"/>
      <c r="Z16" s="579"/>
      <c r="AA16" s="579"/>
      <c r="AB16" s="580"/>
      <c r="AC16" s="572" t="s">
        <v>266</v>
      </c>
      <c r="AD16" s="573"/>
      <c r="AE16" s="573"/>
      <c r="AF16" s="574"/>
      <c r="AG16" s="584">
        <f>SUM(FN6:FQ15)</f>
        <v>0</v>
      </c>
      <c r="AH16" s="585"/>
      <c r="AI16" s="585"/>
      <c r="AJ16" s="586"/>
      <c r="AK16" s="226"/>
      <c r="AL16" s="587"/>
      <c r="AM16" s="588"/>
      <c r="AN16" s="588"/>
      <c r="AO16" s="588"/>
      <c r="AP16" s="589"/>
      <c r="AQ16" s="572" t="s">
        <v>267</v>
      </c>
      <c r="AR16" s="573"/>
      <c r="AS16" s="573"/>
      <c r="AT16" s="574"/>
      <c r="AU16" s="462">
        <f>SUM(FT6:FW15)</f>
        <v>0</v>
      </c>
      <c r="AV16" s="575"/>
      <c r="AW16" s="576"/>
      <c r="AX16" s="576"/>
      <c r="AY16" s="576"/>
      <c r="AZ16" s="577"/>
      <c r="BA16" s="227"/>
      <c r="BB16" s="227"/>
      <c r="BC16" s="227"/>
      <c r="BD16" s="227"/>
      <c r="BE16" s="227"/>
      <c r="BF16" s="227"/>
      <c r="BG16" s="227"/>
      <c r="BH16" s="227"/>
      <c r="BI16" s="227"/>
      <c r="BJ16" s="227"/>
      <c r="BK16" s="227"/>
      <c r="BL16" s="227"/>
      <c r="BM16" s="227"/>
      <c r="BN16" s="227"/>
      <c r="BO16" s="227"/>
      <c r="BP16" s="227"/>
      <c r="BQ16" s="227"/>
      <c r="BR16" s="227"/>
      <c r="BS16" s="227"/>
      <c r="BT16" s="227"/>
      <c r="BU16" s="227"/>
      <c r="BV16" s="227"/>
      <c r="BW16" s="227"/>
      <c r="BX16" s="227"/>
      <c r="BY16" s="227"/>
      <c r="BZ16" s="227"/>
      <c r="CA16" s="227"/>
      <c r="CB16" s="227"/>
      <c r="CC16" s="227"/>
      <c r="CD16" s="227"/>
      <c r="CE16" s="227"/>
      <c r="CF16" s="227"/>
      <c r="CG16" s="227"/>
      <c r="CH16" s="227"/>
      <c r="CI16" s="227"/>
      <c r="CJ16" s="227"/>
      <c r="CK16" s="227"/>
      <c r="CL16" s="227"/>
      <c r="CM16" s="227"/>
      <c r="CN16" s="227"/>
      <c r="CO16" s="227"/>
      <c r="CP16" s="227"/>
      <c r="CQ16" s="227"/>
      <c r="CR16" s="227"/>
      <c r="CS16" s="227"/>
      <c r="CT16" s="227"/>
      <c r="CU16" s="227"/>
      <c r="CV16" s="227"/>
      <c r="CW16" s="227"/>
      <c r="CX16" s="227"/>
      <c r="CY16" s="227"/>
      <c r="CZ16" s="227"/>
      <c r="DA16" s="227"/>
      <c r="DB16" s="227"/>
      <c r="DC16" s="227"/>
      <c r="DD16" s="227"/>
      <c r="DE16" s="227"/>
      <c r="DF16" s="227"/>
      <c r="DG16" s="227"/>
      <c r="DH16" s="227"/>
      <c r="DI16" s="227"/>
      <c r="DJ16" s="227"/>
      <c r="DK16" s="227"/>
      <c r="DL16" s="227"/>
      <c r="DM16" s="227"/>
      <c r="DN16" s="227"/>
      <c r="DO16" s="227"/>
      <c r="DP16" s="227"/>
      <c r="DQ16" s="227"/>
      <c r="DR16" s="227"/>
      <c r="DS16" s="227"/>
      <c r="DT16" s="227"/>
      <c r="DU16" s="227"/>
      <c r="DV16" s="227"/>
      <c r="DW16" s="227"/>
      <c r="DX16" s="227"/>
      <c r="DY16" s="227"/>
      <c r="DZ16" s="227"/>
      <c r="EA16" s="227"/>
      <c r="EB16" s="227"/>
      <c r="EC16" s="227"/>
      <c r="ED16" s="227"/>
      <c r="EE16" s="227"/>
      <c r="EF16" s="227"/>
      <c r="EG16" s="227"/>
      <c r="EH16" s="227"/>
      <c r="EI16" s="227"/>
      <c r="EJ16" s="227"/>
      <c r="EK16" s="227"/>
      <c r="EL16" s="227"/>
      <c r="EM16" s="227"/>
      <c r="EN16" s="227"/>
      <c r="EO16" s="227"/>
      <c r="EP16" s="227"/>
      <c r="FH16" s="227"/>
      <c r="FI16" s="227"/>
      <c r="FJ16" s="227"/>
      <c r="FK16" s="227"/>
      <c r="FL16" s="227"/>
      <c r="FM16" s="227"/>
      <c r="FN16" s="227"/>
      <c r="FO16" s="227"/>
      <c r="FP16" s="227"/>
      <c r="FQ16" s="227"/>
      <c r="FR16" s="227"/>
    </row>
    <row r="17" spans="1:174" s="225" customFormat="1" ht="21" x14ac:dyDescent="0.35">
      <c r="B17" s="463"/>
      <c r="C17" s="463"/>
      <c r="D17" s="463"/>
      <c r="E17" s="464"/>
      <c r="F17" s="464"/>
      <c r="G17" s="464"/>
      <c r="H17" s="464"/>
      <c r="I17" s="464"/>
      <c r="J17" s="464"/>
      <c r="K17" s="464"/>
      <c r="L17" s="464"/>
      <c r="M17" s="464"/>
      <c r="N17" s="464"/>
      <c r="O17" s="464"/>
      <c r="P17" s="464"/>
      <c r="Q17" s="464"/>
      <c r="R17" s="464"/>
      <c r="S17" s="464"/>
      <c r="T17" s="464"/>
      <c r="U17" s="464"/>
      <c r="V17" s="464"/>
      <c r="W17" s="464"/>
      <c r="X17" s="464"/>
      <c r="Y17" s="464"/>
      <c r="Z17" s="464"/>
      <c r="AA17" s="464"/>
      <c r="AB17" s="464"/>
      <c r="AC17" s="465"/>
      <c r="AD17" s="465"/>
      <c r="AE17" s="465"/>
      <c r="AF17" s="465"/>
      <c r="AG17" s="695" t="s">
        <v>1224</v>
      </c>
      <c r="AH17" s="695"/>
      <c r="AI17" s="695"/>
      <c r="AJ17" s="695"/>
      <c r="AK17" s="695"/>
      <c r="AL17" s="695"/>
      <c r="AM17" s="695"/>
      <c r="AN17" s="695"/>
      <c r="AO17" s="695"/>
      <c r="AP17" s="695"/>
      <c r="AQ17" s="695"/>
      <c r="AR17" s="695"/>
      <c r="AS17" s="695"/>
      <c r="AT17" s="695"/>
      <c r="AU17" s="466">
        <f>+AU16-AG16</f>
        <v>0</v>
      </c>
      <c r="BA17" s="227"/>
      <c r="BB17" s="227"/>
      <c r="BC17" s="227"/>
      <c r="BD17" s="227"/>
      <c r="BE17" s="227"/>
      <c r="BF17" s="227"/>
      <c r="BG17" s="227"/>
      <c r="BH17" s="227"/>
      <c r="BI17" s="227"/>
      <c r="BJ17" s="227"/>
      <c r="BK17" s="227"/>
      <c r="BL17" s="227"/>
      <c r="BM17" s="227"/>
      <c r="BN17" s="227"/>
      <c r="BO17" s="227"/>
      <c r="BP17" s="227"/>
      <c r="BQ17" s="227"/>
      <c r="BR17" s="227"/>
      <c r="BS17" s="227"/>
      <c r="BT17" s="227"/>
      <c r="BU17" s="227"/>
      <c r="BV17" s="227"/>
      <c r="BW17" s="227"/>
      <c r="BX17" s="227"/>
      <c r="BY17" s="227"/>
      <c r="BZ17" s="227"/>
      <c r="CA17" s="227"/>
      <c r="CB17" s="227"/>
      <c r="CC17" s="227"/>
      <c r="CD17" s="227"/>
      <c r="CE17" s="227"/>
      <c r="CF17" s="227"/>
      <c r="CG17" s="227"/>
      <c r="CH17" s="227"/>
      <c r="CI17" s="227"/>
      <c r="CJ17" s="227"/>
      <c r="CK17" s="227"/>
      <c r="CL17" s="227"/>
      <c r="CM17" s="227"/>
      <c r="CN17" s="227"/>
      <c r="CO17" s="227"/>
      <c r="CP17" s="227"/>
      <c r="CQ17" s="227"/>
      <c r="CR17" s="227"/>
      <c r="CS17" s="227"/>
      <c r="CT17" s="227"/>
      <c r="CU17" s="227"/>
      <c r="CV17" s="227"/>
      <c r="CW17" s="227"/>
      <c r="CX17" s="227"/>
      <c r="CY17" s="227"/>
      <c r="CZ17" s="227"/>
      <c r="DA17" s="227"/>
      <c r="DB17" s="227"/>
      <c r="DC17" s="227"/>
      <c r="DD17" s="227"/>
      <c r="DE17" s="227"/>
      <c r="DF17" s="227"/>
      <c r="DG17" s="227"/>
      <c r="DH17" s="227"/>
      <c r="DI17" s="227"/>
      <c r="DJ17" s="227"/>
      <c r="DK17" s="227"/>
      <c r="DL17" s="227"/>
      <c r="DM17" s="227"/>
      <c r="DN17" s="227"/>
      <c r="DO17" s="227"/>
      <c r="DP17" s="227"/>
      <c r="DQ17" s="227"/>
      <c r="DR17" s="227"/>
      <c r="DS17" s="227"/>
      <c r="DT17" s="227"/>
      <c r="DU17" s="227"/>
      <c r="DV17" s="227"/>
      <c r="DW17" s="227"/>
      <c r="DX17" s="227"/>
      <c r="DY17" s="227"/>
      <c r="DZ17" s="227"/>
      <c r="EA17" s="227"/>
      <c r="EB17" s="227"/>
      <c r="EC17" s="227"/>
      <c r="ED17" s="227"/>
      <c r="EE17" s="227"/>
      <c r="EF17" s="227"/>
      <c r="EG17" s="227"/>
      <c r="EH17" s="227"/>
      <c r="EI17" s="227"/>
      <c r="EJ17" s="227"/>
      <c r="EK17" s="227"/>
      <c r="EL17" s="227"/>
      <c r="EM17" s="227"/>
      <c r="EN17" s="227"/>
      <c r="EO17" s="227"/>
      <c r="EP17" s="227"/>
      <c r="FH17" s="227"/>
      <c r="FI17" s="227"/>
      <c r="FJ17" s="227"/>
      <c r="FK17" s="227"/>
      <c r="FL17" s="227"/>
      <c r="FM17" s="227"/>
      <c r="FN17" s="227"/>
      <c r="FO17" s="227"/>
      <c r="FP17" s="227"/>
      <c r="FQ17" s="227"/>
      <c r="FR17" s="227"/>
    </row>
    <row r="18" spans="1:174" s="233" customFormat="1" ht="46.2" customHeight="1" x14ac:dyDescent="0.25">
      <c r="A18" s="266" t="s">
        <v>269</v>
      </c>
      <c r="B18" s="567" t="s">
        <v>287</v>
      </c>
      <c r="C18" s="567"/>
      <c r="D18" s="567"/>
      <c r="E18" s="567"/>
      <c r="F18" s="567"/>
      <c r="G18" s="567"/>
      <c r="H18" s="567"/>
      <c r="I18" s="567"/>
      <c r="J18" s="567"/>
      <c r="K18" s="567"/>
      <c r="L18" s="567"/>
      <c r="M18" s="567"/>
      <c r="N18" s="567"/>
      <c r="O18" s="567"/>
      <c r="P18" s="567"/>
      <c r="Q18" s="567"/>
      <c r="R18" s="567"/>
      <c r="S18" s="567"/>
      <c r="T18" s="567"/>
      <c r="U18" s="567"/>
      <c r="V18" s="567"/>
      <c r="W18" s="567"/>
      <c r="X18" s="567"/>
      <c r="Y18" s="567"/>
      <c r="Z18" s="567"/>
      <c r="AA18" s="567"/>
      <c r="AB18" s="567"/>
      <c r="AC18" s="567"/>
      <c r="AD18" s="567"/>
      <c r="AE18" s="567"/>
      <c r="AF18" s="567"/>
      <c r="AG18" s="567"/>
      <c r="AH18" s="567"/>
      <c r="AI18" s="567"/>
      <c r="AJ18" s="567"/>
      <c r="AK18" s="567"/>
      <c r="AL18" s="567"/>
      <c r="AM18" s="567"/>
      <c r="AN18" s="567"/>
      <c r="AO18" s="567"/>
      <c r="AP18" s="567"/>
      <c r="AQ18" s="567"/>
      <c r="AR18" s="567"/>
      <c r="AS18" s="567"/>
      <c r="AT18" s="567"/>
      <c r="AU18" s="567"/>
      <c r="AV18" s="567"/>
      <c r="AW18" s="567"/>
      <c r="AX18" s="567"/>
      <c r="AY18" s="567"/>
      <c r="AZ18" s="567"/>
      <c r="BA18" s="232"/>
      <c r="BB18" s="232"/>
      <c r="BC18" s="232"/>
      <c r="BD18" s="232"/>
      <c r="BE18" s="232"/>
      <c r="BF18" s="232"/>
      <c r="BG18" s="232"/>
      <c r="BH18" s="232"/>
      <c r="BI18" s="232"/>
      <c r="BJ18" s="232"/>
      <c r="BK18" s="232"/>
      <c r="BL18" s="232"/>
      <c r="BM18" s="232"/>
      <c r="BN18" s="232"/>
      <c r="BO18" s="232"/>
      <c r="BP18" s="232"/>
      <c r="BQ18" s="232"/>
      <c r="BR18" s="232"/>
      <c r="BS18" s="232"/>
      <c r="BT18" s="232"/>
      <c r="BU18" s="232"/>
      <c r="BV18" s="232"/>
      <c r="BW18" s="232"/>
      <c r="BX18" s="232"/>
      <c r="BY18" s="232"/>
      <c r="BZ18" s="232"/>
      <c r="CA18" s="232"/>
      <c r="CB18" s="232"/>
      <c r="CC18" s="232"/>
      <c r="CD18" s="232"/>
      <c r="CE18" s="232"/>
      <c r="CF18" s="232"/>
      <c r="CG18" s="232"/>
      <c r="CH18" s="232"/>
      <c r="CI18" s="232"/>
      <c r="CJ18" s="232"/>
      <c r="CK18" s="232"/>
      <c r="CL18" s="232"/>
      <c r="CM18" s="232"/>
      <c r="CN18" s="232"/>
      <c r="CO18" s="232"/>
      <c r="CP18" s="232"/>
      <c r="CQ18" s="232"/>
      <c r="CR18" s="232"/>
      <c r="CS18" s="232"/>
      <c r="CT18" s="232"/>
      <c r="CU18" s="232"/>
      <c r="CV18" s="232"/>
      <c r="CW18" s="232"/>
      <c r="CX18" s="232"/>
      <c r="CY18" s="232"/>
      <c r="CZ18" s="232"/>
      <c r="DA18" s="232"/>
      <c r="DB18" s="232"/>
      <c r="DC18" s="232"/>
      <c r="DD18" s="232"/>
      <c r="DE18" s="232"/>
      <c r="DF18" s="232"/>
      <c r="DG18" s="232"/>
      <c r="DH18" s="232"/>
      <c r="DI18" s="232"/>
      <c r="DJ18" s="232"/>
      <c r="DK18" s="232"/>
      <c r="DL18" s="232"/>
      <c r="DM18" s="232"/>
      <c r="DN18" s="232"/>
      <c r="DO18" s="232"/>
      <c r="DP18" s="232"/>
      <c r="DQ18" s="232"/>
      <c r="DR18" s="232"/>
      <c r="DS18" s="232"/>
      <c r="DT18" s="232"/>
      <c r="DU18" s="232"/>
      <c r="DV18" s="232"/>
      <c r="DW18" s="232"/>
      <c r="DX18" s="232"/>
      <c r="DY18" s="232"/>
      <c r="DZ18" s="232"/>
      <c r="EA18" s="232"/>
      <c r="EB18" s="232"/>
      <c r="EC18" s="232"/>
      <c r="ED18" s="232"/>
      <c r="EE18" s="232"/>
      <c r="EF18" s="232"/>
      <c r="EG18" s="232"/>
      <c r="EH18" s="232"/>
      <c r="EI18" s="232"/>
      <c r="EJ18" s="232"/>
      <c r="EK18" s="232"/>
      <c r="EL18" s="232"/>
      <c r="EM18" s="232"/>
      <c r="EN18" s="232"/>
      <c r="EO18" s="232"/>
      <c r="EP18" s="232"/>
      <c r="EQ18" s="229"/>
      <c r="ER18" s="229"/>
      <c r="ES18" s="229"/>
      <c r="ET18" s="229"/>
      <c r="EU18" s="229"/>
      <c r="EV18" s="229"/>
      <c r="EW18" s="229"/>
      <c r="EX18" s="229"/>
      <c r="EY18" s="229"/>
      <c r="EZ18" s="229"/>
      <c r="FA18" s="229"/>
      <c r="FB18" s="229"/>
      <c r="FC18" s="229"/>
      <c r="FD18" s="229"/>
      <c r="FE18" s="229"/>
      <c r="FF18" s="229"/>
      <c r="FG18" s="229"/>
      <c r="FH18" s="229"/>
      <c r="FI18" s="229"/>
      <c r="FJ18" s="229"/>
      <c r="FK18" s="229"/>
      <c r="FL18" s="229"/>
      <c r="FM18" s="229"/>
      <c r="FN18" s="229"/>
      <c r="FO18" s="229"/>
      <c r="FP18" s="229"/>
      <c r="FQ18" s="229"/>
      <c r="FR18" s="229"/>
    </row>
    <row r="19" spans="1:174" s="233" customFormat="1" ht="46.2" customHeight="1" x14ac:dyDescent="0.25">
      <c r="A19" s="266" t="s">
        <v>270</v>
      </c>
      <c r="B19" s="571" t="s">
        <v>459</v>
      </c>
      <c r="C19" s="571"/>
      <c r="D19" s="571"/>
      <c r="E19" s="571"/>
      <c r="F19" s="571"/>
      <c r="G19" s="571"/>
      <c r="H19" s="571"/>
      <c r="I19" s="571"/>
      <c r="J19" s="571"/>
      <c r="K19" s="571"/>
      <c r="L19" s="571"/>
      <c r="M19" s="571"/>
      <c r="N19" s="571"/>
      <c r="O19" s="571"/>
      <c r="P19" s="571"/>
      <c r="Q19" s="571"/>
      <c r="R19" s="571"/>
      <c r="S19" s="571"/>
      <c r="T19" s="571"/>
      <c r="U19" s="571"/>
      <c r="V19" s="571"/>
      <c r="W19" s="571"/>
      <c r="X19" s="571"/>
      <c r="Y19" s="571"/>
      <c r="Z19" s="571"/>
      <c r="AA19" s="571"/>
      <c r="AB19" s="571"/>
      <c r="AC19" s="571"/>
      <c r="AD19" s="571"/>
      <c r="AE19" s="571"/>
      <c r="AF19" s="571"/>
      <c r="AG19" s="571"/>
      <c r="AH19" s="571"/>
      <c r="AI19" s="571"/>
      <c r="AJ19" s="571"/>
      <c r="AK19" s="571"/>
      <c r="AL19" s="571"/>
      <c r="AM19" s="571"/>
      <c r="AN19" s="571"/>
      <c r="AO19" s="571"/>
      <c r="AP19" s="571"/>
      <c r="AQ19" s="571"/>
      <c r="AR19" s="571"/>
      <c r="AS19" s="571"/>
      <c r="AT19" s="571"/>
      <c r="AU19" s="571"/>
      <c r="AV19" s="571"/>
      <c r="AW19" s="571"/>
      <c r="AX19" s="571"/>
      <c r="AY19" s="571"/>
      <c r="AZ19" s="571"/>
      <c r="BA19" s="231"/>
      <c r="BB19" s="231"/>
      <c r="BC19" s="231"/>
      <c r="BD19" s="231"/>
      <c r="BE19" s="231"/>
      <c r="BF19" s="231"/>
      <c r="BG19" s="231"/>
      <c r="BH19" s="231"/>
      <c r="BI19" s="231"/>
      <c r="BJ19" s="231"/>
      <c r="BK19" s="231"/>
      <c r="BL19" s="231"/>
      <c r="BM19" s="231"/>
      <c r="BN19" s="231"/>
      <c r="BO19" s="231"/>
      <c r="BP19" s="231"/>
      <c r="BQ19" s="231"/>
      <c r="BR19" s="231"/>
      <c r="BS19" s="231"/>
      <c r="BT19" s="231"/>
      <c r="BU19" s="231"/>
      <c r="BV19" s="231"/>
      <c r="BW19" s="231"/>
      <c r="BX19" s="231"/>
      <c r="BY19" s="231"/>
      <c r="BZ19" s="231"/>
      <c r="CA19" s="231"/>
      <c r="CB19" s="231"/>
      <c r="CC19" s="231"/>
      <c r="CD19" s="231"/>
      <c r="CE19" s="231"/>
      <c r="CF19" s="231"/>
      <c r="CG19" s="231"/>
      <c r="CH19" s="231"/>
      <c r="CI19" s="231"/>
      <c r="CJ19" s="231"/>
      <c r="CK19" s="231"/>
      <c r="CL19" s="231"/>
      <c r="CM19" s="231"/>
      <c r="CN19" s="231"/>
      <c r="CO19" s="231"/>
      <c r="CP19" s="231"/>
      <c r="CQ19" s="231"/>
      <c r="CR19" s="231"/>
      <c r="CS19" s="231"/>
      <c r="CT19" s="231"/>
      <c r="CU19" s="231"/>
      <c r="CV19" s="231"/>
      <c r="CW19" s="231"/>
      <c r="CX19" s="231"/>
      <c r="CY19" s="231"/>
      <c r="CZ19" s="231"/>
      <c r="DA19" s="231"/>
      <c r="DB19" s="231"/>
      <c r="DC19" s="231"/>
      <c r="DD19" s="231"/>
      <c r="DE19" s="231"/>
      <c r="DF19" s="231"/>
      <c r="DG19" s="231"/>
      <c r="DH19" s="231"/>
      <c r="DI19" s="231"/>
      <c r="DJ19" s="231"/>
      <c r="DK19" s="231"/>
      <c r="DL19" s="231"/>
      <c r="DM19" s="231"/>
      <c r="DN19" s="231"/>
      <c r="DO19" s="231"/>
      <c r="DP19" s="231"/>
      <c r="DQ19" s="231"/>
      <c r="DR19" s="231"/>
      <c r="DS19" s="231"/>
      <c r="DT19" s="231"/>
      <c r="DU19" s="231"/>
      <c r="DV19" s="231"/>
      <c r="DW19" s="231"/>
      <c r="DX19" s="231"/>
      <c r="DY19" s="231"/>
      <c r="DZ19" s="231"/>
      <c r="EA19" s="231"/>
      <c r="EB19" s="231"/>
      <c r="EC19" s="231"/>
      <c r="ED19" s="231"/>
      <c r="EE19" s="231"/>
      <c r="EF19" s="231"/>
      <c r="EG19" s="231"/>
      <c r="EH19" s="231"/>
      <c r="EI19" s="231"/>
      <c r="EJ19" s="231"/>
      <c r="EK19" s="231"/>
      <c r="EL19" s="231"/>
      <c r="EM19" s="231"/>
      <c r="EN19" s="231"/>
      <c r="EO19" s="231"/>
      <c r="EP19" s="231"/>
      <c r="EQ19" s="229"/>
      <c r="ER19" s="229"/>
      <c r="ES19" s="229"/>
      <c r="ET19" s="229"/>
      <c r="EU19" s="229"/>
      <c r="EV19" s="229"/>
      <c r="EW19" s="229"/>
      <c r="EX19" s="229"/>
      <c r="EY19" s="229"/>
      <c r="EZ19" s="229"/>
      <c r="FA19" s="229"/>
      <c r="FB19" s="229"/>
      <c r="FC19" s="229"/>
      <c r="FD19" s="229"/>
      <c r="FE19" s="229"/>
      <c r="FF19" s="229"/>
      <c r="FG19" s="229"/>
      <c r="FH19" s="229"/>
      <c r="FI19" s="229"/>
      <c r="FJ19" s="229"/>
      <c r="FK19" s="229"/>
      <c r="FL19" s="229"/>
      <c r="FM19" s="229"/>
      <c r="FN19" s="229"/>
      <c r="FO19" s="229"/>
      <c r="FP19" s="229"/>
      <c r="FQ19" s="229"/>
      <c r="FR19" s="229"/>
    </row>
    <row r="20" spans="1:174" s="233" customFormat="1" ht="46.2" customHeight="1" x14ac:dyDescent="0.25">
      <c r="A20" s="266" t="s">
        <v>271</v>
      </c>
      <c r="B20" s="571" t="s">
        <v>460</v>
      </c>
      <c r="C20" s="571"/>
      <c r="D20" s="571"/>
      <c r="E20" s="571"/>
      <c r="F20" s="571"/>
      <c r="G20" s="571"/>
      <c r="H20" s="571"/>
      <c r="I20" s="571"/>
      <c r="J20" s="571"/>
      <c r="K20" s="571"/>
      <c r="L20" s="571"/>
      <c r="M20" s="571"/>
      <c r="N20" s="571"/>
      <c r="O20" s="571"/>
      <c r="P20" s="571"/>
      <c r="Q20" s="571"/>
      <c r="R20" s="571"/>
      <c r="S20" s="571"/>
      <c r="T20" s="571"/>
      <c r="U20" s="571"/>
      <c r="V20" s="571"/>
      <c r="W20" s="571"/>
      <c r="X20" s="571"/>
      <c r="Y20" s="571"/>
      <c r="Z20" s="571"/>
      <c r="AA20" s="571"/>
      <c r="AB20" s="571"/>
      <c r="AC20" s="571"/>
      <c r="AD20" s="571"/>
      <c r="AE20" s="571"/>
      <c r="AF20" s="571"/>
      <c r="AG20" s="571"/>
      <c r="AH20" s="571"/>
      <c r="AI20" s="571"/>
      <c r="AJ20" s="571"/>
      <c r="AK20" s="571"/>
      <c r="AL20" s="571"/>
      <c r="AM20" s="571"/>
      <c r="AN20" s="571"/>
      <c r="AO20" s="571"/>
      <c r="AP20" s="571"/>
      <c r="AQ20" s="571"/>
      <c r="AR20" s="571"/>
      <c r="AS20" s="571"/>
      <c r="AT20" s="571"/>
      <c r="AU20" s="571"/>
      <c r="AV20" s="571"/>
      <c r="AW20" s="571"/>
      <c r="AX20" s="571"/>
      <c r="AY20" s="571"/>
      <c r="AZ20" s="571"/>
      <c r="BA20" s="235"/>
      <c r="BB20" s="235"/>
      <c r="BC20" s="235"/>
      <c r="BD20" s="235"/>
      <c r="BE20" s="235"/>
      <c r="BF20" s="235"/>
      <c r="BG20" s="235"/>
      <c r="BH20" s="235"/>
      <c r="BI20" s="235"/>
      <c r="BJ20" s="235"/>
      <c r="BK20" s="235"/>
      <c r="BL20" s="235"/>
      <c r="BM20" s="235"/>
      <c r="BN20" s="235"/>
      <c r="BO20" s="235"/>
      <c r="BP20" s="235"/>
      <c r="BQ20" s="235"/>
      <c r="BR20" s="235"/>
      <c r="BS20" s="235"/>
      <c r="BT20" s="235"/>
      <c r="BU20" s="235"/>
      <c r="BV20" s="235"/>
      <c r="BW20" s="235"/>
      <c r="BX20" s="235"/>
      <c r="BY20" s="235"/>
      <c r="BZ20" s="235"/>
      <c r="CA20" s="235"/>
      <c r="CB20" s="235"/>
      <c r="CC20" s="235"/>
      <c r="CD20" s="235"/>
      <c r="CE20" s="235"/>
      <c r="CF20" s="235"/>
      <c r="CG20" s="235"/>
      <c r="CH20" s="235"/>
      <c r="CI20" s="235"/>
      <c r="CJ20" s="235"/>
      <c r="CK20" s="235"/>
      <c r="CL20" s="235"/>
      <c r="CM20" s="235"/>
      <c r="CN20" s="235"/>
      <c r="CO20" s="235"/>
      <c r="CP20" s="235"/>
      <c r="CQ20" s="235"/>
      <c r="CR20" s="235"/>
      <c r="CS20" s="235"/>
      <c r="CT20" s="235"/>
      <c r="CU20" s="235"/>
      <c r="CV20" s="235"/>
      <c r="CW20" s="235"/>
      <c r="CX20" s="235"/>
      <c r="CY20" s="235"/>
      <c r="CZ20" s="235"/>
      <c r="DA20" s="235"/>
      <c r="DB20" s="235"/>
      <c r="DC20" s="235"/>
      <c r="DD20" s="235"/>
      <c r="DE20" s="235"/>
      <c r="DF20" s="235"/>
      <c r="DG20" s="235"/>
      <c r="DH20" s="235"/>
      <c r="DI20" s="235"/>
      <c r="DJ20" s="235"/>
      <c r="DK20" s="235"/>
      <c r="DL20" s="235"/>
      <c r="DM20" s="235"/>
      <c r="DN20" s="235"/>
      <c r="DO20" s="235"/>
      <c r="DP20" s="235"/>
      <c r="DQ20" s="235"/>
      <c r="DR20" s="235"/>
      <c r="DS20" s="235"/>
      <c r="DT20" s="235"/>
      <c r="DU20" s="235"/>
      <c r="DV20" s="235"/>
      <c r="DW20" s="235"/>
      <c r="DX20" s="235"/>
      <c r="DY20" s="235"/>
      <c r="DZ20" s="235"/>
      <c r="EA20" s="235"/>
      <c r="EB20" s="235"/>
      <c r="EC20" s="235"/>
      <c r="ED20" s="235"/>
      <c r="EE20" s="235"/>
      <c r="EF20" s="235"/>
      <c r="EG20" s="235"/>
      <c r="EH20" s="235"/>
      <c r="EI20" s="235"/>
      <c r="EJ20" s="235"/>
      <c r="EK20" s="235"/>
      <c r="EL20" s="235"/>
      <c r="EM20" s="235"/>
      <c r="EN20" s="235"/>
      <c r="EO20" s="235"/>
      <c r="EP20" s="235"/>
      <c r="EQ20" s="229"/>
      <c r="ER20" s="229"/>
      <c r="ES20" s="229"/>
      <c r="ET20" s="229"/>
      <c r="EU20" s="229"/>
      <c r="EV20" s="229"/>
      <c r="EW20" s="229"/>
      <c r="EX20" s="229"/>
      <c r="EY20" s="229"/>
      <c r="EZ20" s="229"/>
      <c r="FA20" s="229"/>
      <c r="FB20" s="229"/>
      <c r="FC20" s="229"/>
      <c r="FD20" s="229"/>
      <c r="FE20" s="229"/>
      <c r="FF20" s="229"/>
      <c r="FG20" s="229"/>
      <c r="FH20" s="229"/>
      <c r="FI20" s="229"/>
      <c r="FJ20" s="229"/>
      <c r="FK20" s="229"/>
      <c r="FL20" s="229"/>
      <c r="FM20" s="229"/>
      <c r="FN20" s="229"/>
      <c r="FO20" s="229"/>
      <c r="FP20" s="229"/>
      <c r="FQ20" s="229"/>
      <c r="FR20" s="229"/>
    </row>
    <row r="21" spans="1:174" s="233" customFormat="1" ht="46.2" customHeight="1" x14ac:dyDescent="0.25">
      <c r="A21" s="266" t="s">
        <v>279</v>
      </c>
      <c r="B21" s="571" t="s">
        <v>461</v>
      </c>
      <c r="C21" s="571"/>
      <c r="D21" s="571"/>
      <c r="E21" s="571"/>
      <c r="F21" s="571"/>
      <c r="G21" s="571"/>
      <c r="H21" s="571"/>
      <c r="I21" s="571"/>
      <c r="J21" s="571"/>
      <c r="K21" s="571"/>
      <c r="L21" s="571"/>
      <c r="M21" s="571"/>
      <c r="N21" s="571"/>
      <c r="O21" s="571"/>
      <c r="P21" s="571"/>
      <c r="Q21" s="571"/>
      <c r="R21" s="571"/>
      <c r="S21" s="571"/>
      <c r="T21" s="571"/>
      <c r="U21" s="571"/>
      <c r="V21" s="571"/>
      <c r="W21" s="571"/>
      <c r="X21" s="571"/>
      <c r="Y21" s="571"/>
      <c r="Z21" s="571"/>
      <c r="AA21" s="571"/>
      <c r="AB21" s="571"/>
      <c r="AC21" s="571"/>
      <c r="AD21" s="571"/>
      <c r="AE21" s="571"/>
      <c r="AF21" s="571"/>
      <c r="AG21" s="571"/>
      <c r="AH21" s="571"/>
      <c r="AI21" s="571"/>
      <c r="AJ21" s="571"/>
      <c r="AK21" s="571"/>
      <c r="AL21" s="571"/>
      <c r="AM21" s="571"/>
      <c r="AN21" s="571"/>
      <c r="AO21" s="571"/>
      <c r="AP21" s="571"/>
      <c r="AQ21" s="571"/>
      <c r="AR21" s="571"/>
      <c r="AS21" s="571"/>
      <c r="AT21" s="571"/>
      <c r="AU21" s="571"/>
      <c r="AV21" s="571"/>
      <c r="AW21" s="571"/>
      <c r="AX21" s="571"/>
      <c r="AY21" s="571"/>
      <c r="AZ21" s="571"/>
      <c r="BA21" s="235"/>
      <c r="BB21" s="235"/>
      <c r="BC21" s="235"/>
      <c r="BD21" s="235"/>
      <c r="BE21" s="235"/>
      <c r="BF21" s="235"/>
      <c r="BG21" s="235"/>
      <c r="BH21" s="235"/>
      <c r="BI21" s="235"/>
      <c r="BJ21" s="235"/>
      <c r="BK21" s="235"/>
      <c r="BL21" s="235"/>
      <c r="BM21" s="235"/>
      <c r="BN21" s="235"/>
      <c r="BO21" s="235"/>
      <c r="BP21" s="235"/>
      <c r="BQ21" s="235"/>
      <c r="BR21" s="235"/>
      <c r="BS21" s="235"/>
      <c r="BT21" s="235"/>
      <c r="BU21" s="235"/>
      <c r="BV21" s="235"/>
      <c r="BW21" s="235"/>
      <c r="BX21" s="235"/>
      <c r="BY21" s="235"/>
      <c r="BZ21" s="235"/>
      <c r="CA21" s="235"/>
      <c r="CB21" s="235"/>
      <c r="CC21" s="235"/>
      <c r="CD21" s="235"/>
      <c r="CE21" s="235"/>
      <c r="CF21" s="235"/>
      <c r="CG21" s="235"/>
      <c r="CH21" s="235"/>
      <c r="CI21" s="235"/>
      <c r="CJ21" s="235"/>
      <c r="CK21" s="235"/>
      <c r="CL21" s="235"/>
      <c r="CM21" s="235"/>
      <c r="CN21" s="235"/>
      <c r="CO21" s="235"/>
      <c r="CP21" s="235"/>
      <c r="CQ21" s="235"/>
      <c r="CR21" s="235"/>
      <c r="CS21" s="235"/>
      <c r="CT21" s="235"/>
      <c r="CU21" s="235"/>
      <c r="CV21" s="235"/>
      <c r="CW21" s="235"/>
      <c r="CX21" s="235"/>
      <c r="CY21" s="235"/>
      <c r="CZ21" s="235"/>
      <c r="DA21" s="235"/>
      <c r="DB21" s="235"/>
      <c r="DC21" s="235"/>
      <c r="DD21" s="235"/>
      <c r="DE21" s="235"/>
      <c r="DF21" s="235"/>
      <c r="DG21" s="235"/>
      <c r="DH21" s="235"/>
      <c r="DI21" s="235"/>
      <c r="DJ21" s="235"/>
      <c r="DK21" s="235"/>
      <c r="DL21" s="235"/>
      <c r="DM21" s="235"/>
      <c r="DN21" s="235"/>
      <c r="DO21" s="235"/>
      <c r="DP21" s="235"/>
      <c r="DQ21" s="235"/>
      <c r="DR21" s="235"/>
      <c r="DS21" s="235"/>
      <c r="DT21" s="235"/>
      <c r="DU21" s="235"/>
      <c r="DV21" s="235"/>
      <c r="DW21" s="235"/>
      <c r="DX21" s="235"/>
      <c r="DY21" s="235"/>
      <c r="DZ21" s="235"/>
      <c r="EA21" s="235"/>
      <c r="EB21" s="235"/>
      <c r="EC21" s="235"/>
      <c r="ED21" s="235"/>
      <c r="EE21" s="235"/>
      <c r="EF21" s="235"/>
      <c r="EG21" s="235"/>
      <c r="EH21" s="235"/>
      <c r="EI21" s="235"/>
      <c r="EJ21" s="235"/>
      <c r="EK21" s="235"/>
      <c r="EL21" s="235"/>
      <c r="EM21" s="235"/>
      <c r="EN21" s="235"/>
      <c r="EO21" s="235"/>
      <c r="EP21" s="235"/>
      <c r="EQ21" s="229"/>
      <c r="ER21" s="229"/>
      <c r="ES21" s="229"/>
      <c r="ET21" s="229"/>
      <c r="EU21" s="229"/>
      <c r="EV21" s="229"/>
      <c r="EW21" s="229"/>
      <c r="EX21" s="229"/>
      <c r="EY21" s="229"/>
      <c r="EZ21" s="229"/>
      <c r="FA21" s="229"/>
      <c r="FB21" s="229"/>
      <c r="FC21" s="229"/>
      <c r="FD21" s="229"/>
      <c r="FE21" s="229"/>
      <c r="FF21" s="229"/>
      <c r="FG21" s="229"/>
      <c r="FH21" s="229"/>
      <c r="FI21" s="229"/>
      <c r="FJ21" s="229"/>
      <c r="FK21" s="229"/>
      <c r="FL21" s="229"/>
      <c r="FM21" s="229"/>
      <c r="FN21" s="229"/>
      <c r="FO21" s="229"/>
      <c r="FP21" s="229"/>
      <c r="FQ21" s="229"/>
      <c r="FR21" s="229"/>
    </row>
    <row r="22" spans="1:174" s="49" customFormat="1" ht="85.95" customHeight="1" x14ac:dyDescent="0.4">
      <c r="A22" s="28"/>
      <c r="B22" s="29" t="s">
        <v>934</v>
      </c>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c r="EQ22" s="48"/>
      <c r="ER22" s="48"/>
      <c r="ES22" s="48"/>
      <c r="ET22" s="48"/>
      <c r="EU22" s="48"/>
      <c r="EV22" s="48"/>
      <c r="EW22" s="48"/>
      <c r="EX22" s="48"/>
      <c r="EY22" s="48"/>
      <c r="EZ22" s="48"/>
      <c r="FA22" s="48"/>
      <c r="FB22" s="48"/>
      <c r="FC22" s="48"/>
      <c r="FD22" s="48"/>
    </row>
    <row r="23" spans="1:174" ht="20.25" customHeight="1" x14ac:dyDescent="0.3">
      <c r="B23" s="27"/>
      <c r="C23" s="27"/>
      <c r="D23" s="27"/>
      <c r="E23" s="42"/>
      <c r="F23" s="42"/>
      <c r="G23" s="42"/>
      <c r="H23" s="42"/>
      <c r="I23" s="42"/>
      <c r="J23" s="42"/>
      <c r="K23" s="42"/>
      <c r="L23" s="42"/>
      <c r="M23" s="42"/>
      <c r="N23" s="42"/>
      <c r="O23" s="42"/>
      <c r="P23" s="42"/>
      <c r="Q23" s="42"/>
      <c r="R23" s="42"/>
      <c r="S23" s="42"/>
      <c r="T23" s="42"/>
      <c r="U23" s="42"/>
      <c r="V23" s="42"/>
      <c r="W23" s="42"/>
      <c r="X23" s="42"/>
      <c r="Y23" s="42"/>
      <c r="Z23" s="43"/>
      <c r="AA23" s="43"/>
      <c r="AB23" s="43"/>
      <c r="AC23" s="43"/>
      <c r="AD23" s="44"/>
      <c r="AE23" s="44"/>
      <c r="AF23" s="44"/>
      <c r="AG23" s="44"/>
      <c r="AH23" s="45"/>
      <c r="AI23" s="45"/>
      <c r="AJ23" s="45"/>
      <c r="AK23" s="45"/>
      <c r="AL23" s="45"/>
      <c r="AM23" s="46"/>
      <c r="AN23" s="46"/>
      <c r="AO23" s="46"/>
      <c r="AP23" s="46"/>
      <c r="AQ23" s="46"/>
      <c r="AR23" s="46"/>
      <c r="AS23" s="46"/>
      <c r="AU23" s="43"/>
      <c r="AV23" s="43"/>
      <c r="AW23" s="46"/>
      <c r="AX23" s="46"/>
      <c r="AY23" s="46"/>
      <c r="AZ23" s="46"/>
      <c r="BA23" s="46"/>
      <c r="BB23" s="46"/>
      <c r="BC23" s="46"/>
      <c r="BD23" s="46"/>
      <c r="BE23" s="46"/>
      <c r="BF23" s="46"/>
      <c r="BG23" s="46"/>
      <c r="BH23" s="46"/>
      <c r="BI23" s="46"/>
      <c r="BJ23" s="46"/>
      <c r="BK23" s="46"/>
      <c r="BL23" s="46"/>
      <c r="BM23" s="46"/>
      <c r="BN23" s="46"/>
      <c r="BO23" s="46"/>
      <c r="BP23" s="46"/>
      <c r="BQ23" s="46"/>
      <c r="BR23" s="46"/>
      <c r="BS23" s="46"/>
      <c r="BT23" s="46"/>
      <c r="BU23" s="46"/>
      <c r="BV23" s="46"/>
      <c r="BW23" s="46"/>
      <c r="BX23" s="46"/>
      <c r="BY23" s="46"/>
      <c r="BZ23" s="46"/>
      <c r="CA23" s="46"/>
      <c r="CB23" s="46"/>
      <c r="CC23" s="46"/>
      <c r="CD23" s="46"/>
      <c r="CE23" s="46"/>
      <c r="CF23" s="46"/>
      <c r="CG23" s="46"/>
      <c r="CH23" s="46"/>
      <c r="CI23" s="46"/>
      <c r="CJ23" s="46"/>
      <c r="CK23" s="46"/>
      <c r="CL23" s="46"/>
      <c r="CM23" s="46"/>
      <c r="CN23" s="46"/>
      <c r="CO23" s="46"/>
      <c r="CP23" s="46"/>
      <c r="CQ23" s="46"/>
      <c r="CR23" s="46"/>
      <c r="CS23" s="46"/>
      <c r="CT23" s="46"/>
      <c r="CU23" s="46"/>
      <c r="CV23" s="46"/>
      <c r="CW23" s="46"/>
      <c r="CX23" s="46"/>
      <c r="CY23" s="46"/>
      <c r="CZ23" s="46"/>
      <c r="DA23" s="46"/>
      <c r="DB23" s="46"/>
      <c r="DC23" s="46"/>
      <c r="DD23" s="46"/>
      <c r="DE23" s="46"/>
      <c r="DF23" s="46"/>
      <c r="DG23" s="46"/>
      <c r="DH23" s="46"/>
      <c r="DI23" s="46"/>
      <c r="DJ23" s="46"/>
      <c r="DK23" s="46"/>
      <c r="DL23" s="46"/>
      <c r="DM23" s="46"/>
      <c r="DN23" s="46"/>
      <c r="DO23" s="46"/>
      <c r="DP23" s="46"/>
      <c r="DQ23" s="46"/>
      <c r="DR23" s="46"/>
      <c r="DS23" s="46"/>
      <c r="DT23" s="46"/>
      <c r="DU23" s="46"/>
      <c r="DV23" s="46"/>
      <c r="DW23" s="46"/>
      <c r="DX23" s="46"/>
      <c r="DY23" s="46"/>
      <c r="DZ23" s="46"/>
      <c r="EA23" s="46"/>
      <c r="EB23" s="46"/>
      <c r="EC23" s="46"/>
      <c r="ED23" s="46"/>
      <c r="EE23" s="46"/>
      <c r="EF23" s="46"/>
      <c r="EG23" s="46"/>
      <c r="EH23" s="46"/>
      <c r="EI23" s="46"/>
      <c r="EJ23" s="46"/>
      <c r="EK23" s="46"/>
      <c r="EL23" s="46"/>
      <c r="EM23" s="46"/>
      <c r="EN23" s="46"/>
      <c r="EO23" s="46"/>
      <c r="EP23" s="46"/>
      <c r="EQ23" s="39"/>
      <c r="ER23" s="39"/>
      <c r="ES23" s="39"/>
      <c r="ET23" s="39"/>
      <c r="EU23" s="39"/>
      <c r="EV23" s="39"/>
      <c r="EW23" s="39"/>
      <c r="EX23" s="39"/>
      <c r="EY23" s="39"/>
      <c r="EZ23" s="39"/>
      <c r="FA23" s="39"/>
      <c r="FB23" s="39"/>
      <c r="FC23" s="39"/>
      <c r="FD23" s="39"/>
    </row>
    <row r="24" spans="1:174" s="32" customFormat="1" ht="54" customHeight="1" x14ac:dyDescent="0.3">
      <c r="B24" s="637" t="s">
        <v>8</v>
      </c>
      <c r="C24" s="649"/>
      <c r="D24" s="650"/>
      <c r="E24" s="637" t="s">
        <v>127</v>
      </c>
      <c r="F24" s="649"/>
      <c r="G24" s="649"/>
      <c r="H24" s="649"/>
      <c r="I24" s="649"/>
      <c r="J24" s="649"/>
      <c r="K24" s="649"/>
      <c r="L24" s="649"/>
      <c r="M24" s="649"/>
      <c r="N24" s="649"/>
      <c r="O24" s="650"/>
      <c r="P24" s="637" t="s">
        <v>128</v>
      </c>
      <c r="Q24" s="649"/>
      <c r="R24" s="650"/>
      <c r="S24" s="637" t="s">
        <v>129</v>
      </c>
      <c r="T24" s="649"/>
      <c r="U24" s="650"/>
      <c r="V24" s="637" t="s">
        <v>130</v>
      </c>
      <c r="W24" s="649"/>
      <c r="X24" s="650"/>
      <c r="Y24" s="566" t="s">
        <v>131</v>
      </c>
      <c r="Z24" s="566"/>
      <c r="AA24" s="595" t="s">
        <v>312</v>
      </c>
      <c r="AB24" s="598"/>
      <c r="AC24" s="598"/>
      <c r="AD24" s="640"/>
      <c r="AE24" s="671" t="s">
        <v>291</v>
      </c>
      <c r="AF24" s="671"/>
      <c r="AG24" s="671"/>
      <c r="AH24" s="671"/>
      <c r="AI24" s="671"/>
      <c r="AJ24" s="671"/>
      <c r="AK24" s="228"/>
      <c r="AL24" s="245" t="s">
        <v>260</v>
      </c>
      <c r="AM24" s="672"/>
      <c r="AN24" s="672"/>
      <c r="AO24" s="672"/>
      <c r="AP24" s="672"/>
      <c r="AQ24" s="672"/>
      <c r="AR24" s="672"/>
      <c r="AS24" s="672"/>
      <c r="AT24" s="672"/>
      <c r="AU24" s="672"/>
      <c r="AV24" s="672"/>
      <c r="AW24" s="672"/>
      <c r="AX24" s="672"/>
      <c r="AY24" s="672"/>
      <c r="AZ24" s="672"/>
      <c r="BA24" s="40"/>
      <c r="BB24" s="40"/>
      <c r="BC24" s="40"/>
      <c r="BD24" s="40"/>
      <c r="BE24" s="40"/>
      <c r="BF24" s="40"/>
      <c r="BG24" s="40"/>
      <c r="BH24" s="40"/>
      <c r="BI24" s="40"/>
      <c r="BJ24" s="40"/>
      <c r="BK24" s="40"/>
      <c r="BL24" s="40"/>
      <c r="BM24" s="40"/>
      <c r="BN24" s="40"/>
      <c r="BO24" s="40"/>
      <c r="BP24" s="40"/>
      <c r="BQ24" s="40"/>
      <c r="BR24" s="40"/>
      <c r="BS24" s="40"/>
      <c r="BT24" s="40"/>
      <c r="BU24" s="40"/>
      <c r="BV24" s="40"/>
      <c r="BW24" s="40"/>
      <c r="BX24" s="40"/>
      <c r="BY24" s="40"/>
      <c r="BZ24" s="40"/>
      <c r="CA24" s="40"/>
      <c r="CB24" s="40"/>
      <c r="CC24" s="40"/>
      <c r="CD24" s="40"/>
      <c r="CE24" s="40"/>
      <c r="CF24" s="40"/>
      <c r="CG24" s="40"/>
      <c r="CH24" s="40"/>
      <c r="CI24" s="40"/>
      <c r="CJ24" s="40"/>
      <c r="CK24" s="40"/>
      <c r="CL24" s="40"/>
      <c r="CM24" s="40"/>
      <c r="CN24" s="40"/>
      <c r="CO24" s="40"/>
      <c r="CP24" s="40"/>
      <c r="CQ24" s="40"/>
      <c r="CR24" s="40"/>
      <c r="CS24" s="40"/>
      <c r="CT24" s="40"/>
      <c r="CU24" s="40"/>
      <c r="CV24" s="40"/>
      <c r="CW24" s="40"/>
      <c r="CX24" s="40"/>
      <c r="CY24" s="40"/>
      <c r="CZ24" s="40"/>
      <c r="DA24" s="40"/>
      <c r="DB24" s="40"/>
      <c r="DC24" s="40"/>
      <c r="DD24" s="40"/>
      <c r="DE24" s="40"/>
      <c r="DF24" s="40"/>
      <c r="DG24" s="40"/>
      <c r="DH24" s="40"/>
      <c r="DI24" s="40"/>
      <c r="DJ24" s="40"/>
      <c r="DK24" s="40"/>
      <c r="DL24" s="40"/>
      <c r="DM24" s="40"/>
      <c r="DN24" s="40"/>
      <c r="DO24" s="40"/>
      <c r="DP24" s="40"/>
      <c r="DQ24" s="40"/>
      <c r="DR24" s="40"/>
      <c r="DS24" s="40"/>
      <c r="DT24" s="40"/>
      <c r="DU24" s="40"/>
      <c r="DV24" s="40"/>
      <c r="DW24" s="40"/>
      <c r="DX24" s="40"/>
      <c r="DY24" s="40"/>
      <c r="DZ24" s="40"/>
      <c r="EA24" s="40"/>
      <c r="EB24" s="40"/>
      <c r="EC24" s="40"/>
      <c r="ED24" s="40"/>
      <c r="EE24" s="40"/>
      <c r="EF24" s="40"/>
      <c r="EG24" s="40"/>
      <c r="EH24" s="40"/>
      <c r="EI24" s="40"/>
      <c r="EJ24" s="40"/>
      <c r="EK24" s="40"/>
      <c r="EL24" s="40"/>
      <c r="EM24" s="40"/>
      <c r="EN24" s="40"/>
      <c r="EO24" s="40"/>
      <c r="EP24" s="40"/>
      <c r="EQ24" s="38"/>
      <c r="ER24" s="38"/>
      <c r="ES24" s="38"/>
      <c r="ET24" s="38"/>
      <c r="EU24" s="38"/>
      <c r="EV24" s="38"/>
      <c r="EW24" s="38"/>
      <c r="EX24" s="38"/>
      <c r="EY24" s="38"/>
      <c r="EZ24" s="38"/>
      <c r="FA24" s="38"/>
      <c r="FB24" s="38"/>
      <c r="FC24" s="38"/>
    </row>
    <row r="25" spans="1:174" s="32" customFormat="1" ht="33.6" customHeight="1" x14ac:dyDescent="0.25">
      <c r="B25" s="648" t="s">
        <v>229</v>
      </c>
      <c r="C25" s="648"/>
      <c r="D25" s="648"/>
      <c r="E25" s="636"/>
      <c r="F25" s="636"/>
      <c r="G25" s="636"/>
      <c r="H25" s="636"/>
      <c r="I25" s="636"/>
      <c r="J25" s="636"/>
      <c r="K25" s="636"/>
      <c r="L25" s="636"/>
      <c r="M25" s="636"/>
      <c r="N25" s="636"/>
      <c r="O25" s="636"/>
      <c r="P25" s="642"/>
      <c r="Q25" s="642"/>
      <c r="R25" s="642"/>
      <c r="S25" s="642"/>
      <c r="T25" s="642"/>
      <c r="U25" s="642"/>
      <c r="V25" s="561"/>
      <c r="W25" s="561"/>
      <c r="X25" s="561"/>
      <c r="Y25" s="561"/>
      <c r="Z25" s="561"/>
      <c r="AA25" s="643"/>
      <c r="AB25" s="643"/>
      <c r="AC25" s="643"/>
      <c r="AD25" s="643"/>
      <c r="AE25" s="661" t="s">
        <v>313</v>
      </c>
      <c r="AF25" s="662"/>
      <c r="AG25" s="662"/>
      <c r="AH25" s="662"/>
      <c r="AI25" s="662"/>
      <c r="AJ25" s="663"/>
      <c r="AK25" s="230"/>
      <c r="AL25" s="381"/>
      <c r="AM25" s="670"/>
      <c r="AN25" s="670"/>
      <c r="AO25" s="670"/>
      <c r="AP25" s="670"/>
      <c r="AQ25" s="670"/>
      <c r="AR25" s="670"/>
      <c r="AS25" s="670"/>
      <c r="AT25" s="670"/>
      <c r="AU25" s="670"/>
      <c r="AV25" s="670"/>
      <c r="AW25" s="670"/>
      <c r="AX25" s="670"/>
      <c r="AY25" s="670"/>
      <c r="AZ25" s="670"/>
      <c r="BA25" s="33"/>
      <c r="BB25" s="33"/>
      <c r="BC25" s="33"/>
      <c r="BD25" s="33"/>
      <c r="BE25" s="33"/>
      <c r="BF25" s="33"/>
      <c r="BG25" s="33"/>
      <c r="BH25" s="33"/>
      <c r="BI25" s="33"/>
      <c r="BJ25" s="33"/>
      <c r="BK25" s="33"/>
      <c r="BL25" s="33"/>
      <c r="BM25" s="33"/>
      <c r="BN25" s="33"/>
      <c r="BO25" s="33"/>
      <c r="BP25" s="33"/>
      <c r="BQ25" s="33"/>
      <c r="BR25" s="33"/>
      <c r="BS25" s="33"/>
      <c r="BT25" s="33"/>
      <c r="BU25" s="33"/>
      <c r="BV25" s="33"/>
      <c r="BW25" s="33"/>
      <c r="BX25" s="33"/>
      <c r="BY25" s="33"/>
      <c r="BZ25" s="33"/>
      <c r="CA25" s="33"/>
      <c r="CB25" s="33"/>
      <c r="CC25" s="33"/>
      <c r="CD25" s="33"/>
      <c r="CE25" s="33"/>
      <c r="CF25" s="33"/>
      <c r="CG25" s="33"/>
      <c r="CH25" s="33"/>
      <c r="CI25" s="33"/>
      <c r="CJ25" s="33"/>
      <c r="CK25" s="33"/>
      <c r="CL25" s="33"/>
      <c r="CM25" s="33"/>
      <c r="CN25" s="33"/>
      <c r="CO25" s="33"/>
      <c r="CP25" s="33"/>
      <c r="CQ25" s="33"/>
      <c r="CR25" s="33"/>
      <c r="CS25" s="33"/>
      <c r="CT25" s="33"/>
      <c r="CU25" s="33"/>
      <c r="CV25" s="33"/>
      <c r="CW25" s="33"/>
      <c r="CX25" s="33"/>
      <c r="CY25" s="33"/>
      <c r="CZ25" s="33"/>
      <c r="DA25" s="33"/>
      <c r="DB25" s="33"/>
      <c r="DC25" s="33"/>
      <c r="DD25" s="33"/>
      <c r="DE25" s="33"/>
      <c r="DF25" s="33"/>
      <c r="DG25" s="33"/>
      <c r="DH25" s="33"/>
      <c r="DI25" s="33"/>
      <c r="DJ25" s="33"/>
      <c r="DK25" s="33"/>
      <c r="DL25" s="33"/>
      <c r="DM25" s="33"/>
      <c r="DN25" s="33"/>
      <c r="DO25" s="33"/>
      <c r="DP25" s="33"/>
      <c r="DQ25" s="33"/>
      <c r="DR25" s="33"/>
      <c r="DS25" s="33"/>
      <c r="DT25" s="33"/>
      <c r="DU25" s="33"/>
      <c r="DV25" s="33"/>
      <c r="DW25" s="33"/>
      <c r="DX25" s="33"/>
      <c r="DY25" s="33"/>
      <c r="DZ25" s="33"/>
      <c r="EA25" s="33"/>
      <c r="EB25" s="33"/>
      <c r="EC25" s="33"/>
      <c r="ED25" s="33"/>
      <c r="EE25" s="33"/>
      <c r="EF25" s="33"/>
      <c r="EG25" s="33"/>
      <c r="EH25" s="33"/>
      <c r="EI25" s="33"/>
      <c r="EJ25" s="33"/>
      <c r="EK25" s="33"/>
      <c r="EL25" s="33"/>
      <c r="EM25" s="33"/>
      <c r="EN25" s="33"/>
      <c r="EO25" s="33"/>
      <c r="EP25" s="33"/>
    </row>
    <row r="26" spans="1:174" s="32" customFormat="1" ht="33.6" customHeight="1" x14ac:dyDescent="0.25">
      <c r="B26" s="648" t="s">
        <v>230</v>
      </c>
      <c r="C26" s="648"/>
      <c r="D26" s="648"/>
      <c r="E26" s="636"/>
      <c r="F26" s="636"/>
      <c r="G26" s="636"/>
      <c r="H26" s="636"/>
      <c r="I26" s="636"/>
      <c r="J26" s="636"/>
      <c r="K26" s="636"/>
      <c r="L26" s="636"/>
      <c r="M26" s="636"/>
      <c r="N26" s="636"/>
      <c r="O26" s="636"/>
      <c r="P26" s="642"/>
      <c r="Q26" s="642"/>
      <c r="R26" s="642"/>
      <c r="S26" s="642"/>
      <c r="T26" s="642"/>
      <c r="U26" s="642"/>
      <c r="V26" s="561"/>
      <c r="W26" s="561"/>
      <c r="X26" s="561"/>
      <c r="Y26" s="561"/>
      <c r="Z26" s="561"/>
      <c r="AA26" s="643"/>
      <c r="AB26" s="643"/>
      <c r="AC26" s="643"/>
      <c r="AD26" s="643"/>
      <c r="AE26" s="561"/>
      <c r="AF26" s="561"/>
      <c r="AG26" s="561"/>
      <c r="AH26" s="561"/>
      <c r="AI26" s="561"/>
      <c r="AJ26" s="561"/>
      <c r="AK26" s="230"/>
      <c r="AL26" s="381"/>
      <c r="AM26" s="670"/>
      <c r="AN26" s="670"/>
      <c r="AO26" s="670"/>
      <c r="AP26" s="670"/>
      <c r="AQ26" s="670"/>
      <c r="AR26" s="670"/>
      <c r="AS26" s="670"/>
      <c r="AT26" s="670"/>
      <c r="AU26" s="670"/>
      <c r="AV26" s="670"/>
      <c r="AW26" s="670"/>
      <c r="AX26" s="670"/>
      <c r="AY26" s="670"/>
      <c r="AZ26" s="670"/>
      <c r="BA26" s="33"/>
      <c r="BB26" s="33"/>
      <c r="BC26" s="33"/>
      <c r="BD26" s="33"/>
      <c r="BE26" s="33"/>
      <c r="BF26" s="33"/>
      <c r="BG26" s="33"/>
      <c r="BH26" s="33"/>
      <c r="BI26" s="33"/>
      <c r="BJ26" s="33"/>
      <c r="BK26" s="33"/>
      <c r="BL26" s="33"/>
      <c r="BM26" s="33"/>
      <c r="BN26" s="33"/>
      <c r="BO26" s="33"/>
      <c r="BP26" s="33"/>
      <c r="BQ26" s="33"/>
      <c r="BR26" s="33"/>
      <c r="BS26" s="33"/>
      <c r="BT26" s="33"/>
      <c r="BU26" s="33"/>
      <c r="BV26" s="33"/>
      <c r="BW26" s="33"/>
      <c r="BX26" s="33"/>
      <c r="BY26" s="33"/>
      <c r="BZ26" s="33"/>
      <c r="CA26" s="33"/>
      <c r="CB26" s="33"/>
      <c r="CC26" s="33"/>
      <c r="CD26" s="33"/>
      <c r="CE26" s="33"/>
      <c r="CF26" s="33"/>
      <c r="CG26" s="33"/>
      <c r="CH26" s="33"/>
      <c r="CI26" s="33"/>
      <c r="CJ26" s="33"/>
      <c r="CK26" s="33"/>
      <c r="CL26" s="33"/>
      <c r="CM26" s="33"/>
      <c r="CN26" s="33"/>
      <c r="CO26" s="33"/>
      <c r="CP26" s="33"/>
      <c r="CQ26" s="33"/>
      <c r="CR26" s="33"/>
      <c r="CS26" s="33"/>
      <c r="CT26" s="33"/>
      <c r="CU26" s="33"/>
      <c r="CV26" s="33"/>
      <c r="CW26" s="33"/>
      <c r="CX26" s="33"/>
      <c r="CY26" s="33"/>
      <c r="CZ26" s="33"/>
      <c r="DA26" s="33"/>
      <c r="DB26" s="33"/>
      <c r="DC26" s="33"/>
      <c r="DD26" s="33"/>
      <c r="DE26" s="33"/>
      <c r="DF26" s="33"/>
      <c r="DG26" s="33"/>
      <c r="DH26" s="33"/>
      <c r="DI26" s="33"/>
      <c r="DJ26" s="33"/>
      <c r="DK26" s="33"/>
      <c r="DL26" s="33"/>
      <c r="DM26" s="33"/>
      <c r="DN26" s="33"/>
      <c r="DO26" s="33"/>
      <c r="DP26" s="33"/>
      <c r="DQ26" s="33"/>
      <c r="DR26" s="33"/>
      <c r="DS26" s="33"/>
      <c r="DT26" s="33"/>
      <c r="DU26" s="33"/>
      <c r="DV26" s="33"/>
      <c r="DW26" s="33"/>
      <c r="DX26" s="33"/>
      <c r="DY26" s="33"/>
      <c r="DZ26" s="33"/>
      <c r="EA26" s="33"/>
      <c r="EB26" s="33"/>
      <c r="EC26" s="33"/>
      <c r="ED26" s="33"/>
      <c r="EE26" s="33"/>
      <c r="EF26" s="33"/>
      <c r="EG26" s="33"/>
      <c r="EH26" s="33"/>
      <c r="EI26" s="33"/>
      <c r="EJ26" s="33"/>
      <c r="EK26" s="33"/>
      <c r="EL26" s="33"/>
      <c r="EM26" s="33"/>
      <c r="EN26" s="33"/>
      <c r="EO26" s="33"/>
      <c r="EP26" s="33"/>
    </row>
    <row r="27" spans="1:174" s="32" customFormat="1" ht="33.6" customHeight="1" x14ac:dyDescent="0.25">
      <c r="B27" s="648" t="s">
        <v>231</v>
      </c>
      <c r="C27" s="648"/>
      <c r="D27" s="648"/>
      <c r="E27" s="636"/>
      <c r="F27" s="636"/>
      <c r="G27" s="636"/>
      <c r="H27" s="636"/>
      <c r="I27" s="636"/>
      <c r="J27" s="636"/>
      <c r="K27" s="636"/>
      <c r="L27" s="636"/>
      <c r="M27" s="636"/>
      <c r="N27" s="636"/>
      <c r="O27" s="636"/>
      <c r="P27" s="642"/>
      <c r="Q27" s="642"/>
      <c r="R27" s="642"/>
      <c r="S27" s="642"/>
      <c r="T27" s="642"/>
      <c r="U27" s="642"/>
      <c r="V27" s="561"/>
      <c r="W27" s="561"/>
      <c r="X27" s="561"/>
      <c r="Y27" s="561"/>
      <c r="Z27" s="561"/>
      <c r="AA27" s="643"/>
      <c r="AB27" s="643"/>
      <c r="AC27" s="643"/>
      <c r="AD27" s="643"/>
      <c r="AE27" s="561"/>
      <c r="AF27" s="561"/>
      <c r="AG27" s="561"/>
      <c r="AH27" s="561"/>
      <c r="AI27" s="561"/>
      <c r="AJ27" s="561"/>
      <c r="AK27" s="230"/>
      <c r="AL27" s="381"/>
      <c r="AM27" s="670"/>
      <c r="AN27" s="670"/>
      <c r="AO27" s="670"/>
      <c r="AP27" s="670"/>
      <c r="AQ27" s="670"/>
      <c r="AR27" s="670"/>
      <c r="AS27" s="670"/>
      <c r="AT27" s="670"/>
      <c r="AU27" s="670"/>
      <c r="AV27" s="670"/>
      <c r="AW27" s="670"/>
      <c r="AX27" s="670"/>
      <c r="AY27" s="670"/>
      <c r="AZ27" s="670"/>
      <c r="BA27" s="33"/>
      <c r="BB27" s="33"/>
      <c r="BC27" s="33"/>
      <c r="BD27" s="33"/>
      <c r="BE27" s="33"/>
      <c r="BF27" s="33"/>
      <c r="BG27" s="33"/>
      <c r="BH27" s="33"/>
      <c r="BI27" s="33"/>
      <c r="BJ27" s="33"/>
      <c r="BK27" s="33"/>
      <c r="BL27" s="33"/>
      <c r="BM27" s="33"/>
      <c r="BN27" s="33"/>
      <c r="BO27" s="33"/>
      <c r="BP27" s="33"/>
      <c r="BQ27" s="33"/>
      <c r="BR27" s="33"/>
      <c r="BS27" s="33"/>
      <c r="BT27" s="33"/>
      <c r="BU27" s="33"/>
      <c r="BV27" s="33"/>
      <c r="BW27" s="33"/>
      <c r="BX27" s="33"/>
      <c r="BY27" s="33"/>
      <c r="BZ27" s="33"/>
      <c r="CA27" s="33"/>
      <c r="CB27" s="33"/>
      <c r="CC27" s="33"/>
      <c r="CD27" s="33"/>
      <c r="CE27" s="33"/>
      <c r="CF27" s="33"/>
      <c r="CG27" s="33"/>
      <c r="CH27" s="33"/>
      <c r="CI27" s="33"/>
      <c r="CJ27" s="33"/>
      <c r="CK27" s="33"/>
      <c r="CL27" s="33"/>
      <c r="CM27" s="33"/>
      <c r="CN27" s="33"/>
      <c r="CO27" s="33"/>
      <c r="CP27" s="33"/>
      <c r="CQ27" s="33"/>
      <c r="CR27" s="33"/>
      <c r="CS27" s="33"/>
      <c r="CT27" s="33"/>
      <c r="CU27" s="33"/>
      <c r="CV27" s="33"/>
      <c r="CW27" s="33"/>
      <c r="CX27" s="33"/>
      <c r="CY27" s="33"/>
      <c r="CZ27" s="33"/>
      <c r="DA27" s="33"/>
      <c r="DB27" s="33"/>
      <c r="DC27" s="33"/>
      <c r="DD27" s="33"/>
      <c r="DE27" s="33"/>
      <c r="DF27" s="33"/>
      <c r="DG27" s="33"/>
      <c r="DH27" s="33"/>
      <c r="DI27" s="33"/>
      <c r="DJ27" s="33"/>
      <c r="DK27" s="33"/>
      <c r="DL27" s="33"/>
      <c r="DM27" s="33"/>
      <c r="DN27" s="33"/>
      <c r="DO27" s="33"/>
      <c r="DP27" s="33"/>
      <c r="DQ27" s="33"/>
      <c r="DR27" s="33"/>
      <c r="DS27" s="33"/>
      <c r="DT27" s="33"/>
      <c r="DU27" s="33"/>
      <c r="DV27" s="33"/>
      <c r="DW27" s="33"/>
      <c r="DX27" s="33"/>
      <c r="DY27" s="33"/>
      <c r="DZ27" s="33"/>
      <c r="EA27" s="33"/>
      <c r="EB27" s="33"/>
      <c r="EC27" s="33"/>
      <c r="ED27" s="33"/>
      <c r="EE27" s="33"/>
      <c r="EF27" s="33"/>
      <c r="EG27" s="33"/>
      <c r="EH27" s="33"/>
      <c r="EI27" s="33"/>
      <c r="EJ27" s="33"/>
      <c r="EK27" s="33"/>
      <c r="EL27" s="33"/>
      <c r="EM27" s="33"/>
      <c r="EN27" s="33"/>
      <c r="EO27" s="33"/>
      <c r="EP27" s="33"/>
    </row>
    <row r="28" spans="1:174" s="32" customFormat="1" ht="33.6" customHeight="1" x14ac:dyDescent="0.25">
      <c r="B28" s="648" t="s">
        <v>232</v>
      </c>
      <c r="C28" s="648"/>
      <c r="D28" s="648"/>
      <c r="E28" s="636"/>
      <c r="F28" s="636"/>
      <c r="G28" s="636"/>
      <c r="H28" s="636"/>
      <c r="I28" s="636"/>
      <c r="J28" s="636"/>
      <c r="K28" s="636"/>
      <c r="L28" s="636"/>
      <c r="M28" s="636"/>
      <c r="N28" s="636"/>
      <c r="O28" s="636"/>
      <c r="P28" s="642"/>
      <c r="Q28" s="642"/>
      <c r="R28" s="642"/>
      <c r="S28" s="642"/>
      <c r="T28" s="642"/>
      <c r="U28" s="642"/>
      <c r="V28" s="561"/>
      <c r="W28" s="561"/>
      <c r="X28" s="561"/>
      <c r="Y28" s="561"/>
      <c r="Z28" s="561"/>
      <c r="AA28" s="643"/>
      <c r="AB28" s="643"/>
      <c r="AC28" s="643"/>
      <c r="AD28" s="643"/>
      <c r="AE28" s="561"/>
      <c r="AF28" s="561"/>
      <c r="AG28" s="561"/>
      <c r="AH28" s="561"/>
      <c r="AI28" s="561"/>
      <c r="AJ28" s="561"/>
      <c r="AK28" s="230"/>
      <c r="AL28" s="381"/>
      <c r="AM28" s="670"/>
      <c r="AN28" s="670"/>
      <c r="AO28" s="670"/>
      <c r="AP28" s="670"/>
      <c r="AQ28" s="670"/>
      <c r="AR28" s="670"/>
      <c r="AS28" s="670"/>
      <c r="AT28" s="670"/>
      <c r="AU28" s="670"/>
      <c r="AV28" s="670"/>
      <c r="AW28" s="670"/>
      <c r="AX28" s="670"/>
      <c r="AY28" s="670"/>
      <c r="AZ28" s="670"/>
      <c r="BA28" s="33"/>
      <c r="BB28" s="33"/>
      <c r="BC28" s="33"/>
      <c r="BD28" s="33"/>
      <c r="BE28" s="33"/>
      <c r="BF28" s="33"/>
      <c r="BG28" s="33"/>
      <c r="BH28" s="33"/>
      <c r="BI28" s="33"/>
      <c r="BJ28" s="33"/>
      <c r="BK28" s="33"/>
      <c r="BL28" s="33"/>
      <c r="BM28" s="33"/>
      <c r="BN28" s="33"/>
      <c r="BO28" s="33"/>
      <c r="BP28" s="33"/>
      <c r="BQ28" s="33"/>
      <c r="BR28" s="33"/>
      <c r="BS28" s="33"/>
      <c r="BT28" s="33"/>
      <c r="BU28" s="33"/>
      <c r="BV28" s="33"/>
      <c r="BW28" s="33"/>
      <c r="BX28" s="33"/>
      <c r="BY28" s="33"/>
      <c r="BZ28" s="33"/>
      <c r="CA28" s="33"/>
      <c r="CB28" s="33"/>
      <c r="CC28" s="33"/>
      <c r="CD28" s="33"/>
      <c r="CE28" s="33"/>
      <c r="CF28" s="33"/>
      <c r="CG28" s="33"/>
      <c r="CH28" s="33"/>
      <c r="CI28" s="33"/>
      <c r="CJ28" s="33"/>
      <c r="CK28" s="33"/>
      <c r="CL28" s="33"/>
      <c r="CM28" s="33"/>
      <c r="CN28" s="33"/>
      <c r="CO28" s="33"/>
      <c r="CP28" s="33"/>
      <c r="CQ28" s="33"/>
      <c r="CR28" s="33"/>
      <c r="CS28" s="33"/>
      <c r="CT28" s="33"/>
      <c r="CU28" s="33"/>
      <c r="CV28" s="33"/>
      <c r="CW28" s="33"/>
      <c r="CX28" s="33"/>
      <c r="CY28" s="33"/>
      <c r="CZ28" s="33"/>
      <c r="DA28" s="33"/>
      <c r="DB28" s="33"/>
      <c r="DC28" s="33"/>
      <c r="DD28" s="33"/>
      <c r="DE28" s="33"/>
      <c r="DF28" s="33"/>
      <c r="DG28" s="33"/>
      <c r="DH28" s="33"/>
      <c r="DI28" s="33"/>
      <c r="DJ28" s="33"/>
      <c r="DK28" s="33"/>
      <c r="DL28" s="33"/>
      <c r="DM28" s="33"/>
      <c r="DN28" s="33"/>
      <c r="DO28" s="33"/>
      <c r="DP28" s="33"/>
      <c r="DQ28" s="33"/>
      <c r="DR28" s="33"/>
      <c r="DS28" s="33"/>
      <c r="DT28" s="33"/>
      <c r="DU28" s="33"/>
      <c r="DV28" s="33"/>
      <c r="DW28" s="33"/>
      <c r="DX28" s="33"/>
      <c r="DY28" s="33"/>
      <c r="DZ28" s="33"/>
      <c r="EA28" s="33"/>
      <c r="EB28" s="33"/>
      <c r="EC28" s="33"/>
      <c r="ED28" s="33"/>
      <c r="EE28" s="33"/>
      <c r="EF28" s="33"/>
      <c r="EG28" s="33"/>
      <c r="EH28" s="33"/>
      <c r="EI28" s="33"/>
      <c r="EJ28" s="33"/>
      <c r="EK28" s="33"/>
      <c r="EL28" s="33"/>
      <c r="EM28" s="33"/>
      <c r="EN28" s="33"/>
      <c r="EO28" s="33"/>
      <c r="EP28" s="33"/>
    </row>
    <row r="29" spans="1:174" s="32" customFormat="1" ht="33.6" customHeight="1" x14ac:dyDescent="0.25">
      <c r="B29" s="648" t="s">
        <v>251</v>
      </c>
      <c r="C29" s="648"/>
      <c r="D29" s="648"/>
      <c r="E29" s="636"/>
      <c r="F29" s="636"/>
      <c r="G29" s="636"/>
      <c r="H29" s="636"/>
      <c r="I29" s="636"/>
      <c r="J29" s="636"/>
      <c r="K29" s="636"/>
      <c r="L29" s="636"/>
      <c r="M29" s="636"/>
      <c r="N29" s="636"/>
      <c r="O29" s="636"/>
      <c r="P29" s="642"/>
      <c r="Q29" s="642"/>
      <c r="R29" s="642"/>
      <c r="S29" s="642"/>
      <c r="T29" s="642"/>
      <c r="U29" s="642"/>
      <c r="V29" s="561"/>
      <c r="W29" s="561"/>
      <c r="X29" s="561"/>
      <c r="Y29" s="561"/>
      <c r="Z29" s="561"/>
      <c r="AA29" s="643"/>
      <c r="AB29" s="643"/>
      <c r="AC29" s="643"/>
      <c r="AD29" s="643"/>
      <c r="AE29" s="561"/>
      <c r="AF29" s="561"/>
      <c r="AG29" s="561"/>
      <c r="AH29" s="561"/>
      <c r="AI29" s="561"/>
      <c r="AJ29" s="561"/>
      <c r="AK29" s="230"/>
      <c r="AL29" s="381"/>
      <c r="AM29" s="670"/>
      <c r="AN29" s="670"/>
      <c r="AO29" s="670"/>
      <c r="AP29" s="670"/>
      <c r="AQ29" s="670"/>
      <c r="AR29" s="670"/>
      <c r="AS29" s="670"/>
      <c r="AT29" s="670"/>
      <c r="AU29" s="670"/>
      <c r="AV29" s="670"/>
      <c r="AW29" s="670"/>
      <c r="AX29" s="670"/>
      <c r="AY29" s="670"/>
      <c r="AZ29" s="670"/>
      <c r="BA29" s="33"/>
      <c r="BB29" s="33"/>
      <c r="BC29" s="33"/>
      <c r="BD29" s="33"/>
      <c r="BE29" s="33"/>
      <c r="BF29" s="33"/>
      <c r="BG29" s="33"/>
      <c r="BH29" s="33"/>
      <c r="BI29" s="33"/>
      <c r="BJ29" s="33"/>
      <c r="BK29" s="33"/>
      <c r="BL29" s="33"/>
      <c r="BM29" s="33"/>
      <c r="BN29" s="33"/>
      <c r="BO29" s="33"/>
      <c r="BP29" s="33"/>
      <c r="BQ29" s="33"/>
      <c r="BR29" s="33"/>
      <c r="BS29" s="33"/>
      <c r="BT29" s="33"/>
      <c r="BU29" s="33"/>
      <c r="BV29" s="33"/>
      <c r="BW29" s="33"/>
      <c r="BX29" s="33"/>
      <c r="BY29" s="33"/>
      <c r="BZ29" s="33"/>
      <c r="CA29" s="33"/>
      <c r="CB29" s="33"/>
      <c r="CC29" s="33"/>
      <c r="CD29" s="33"/>
      <c r="CE29" s="33"/>
      <c r="CF29" s="33"/>
      <c r="CG29" s="33"/>
      <c r="CH29" s="33"/>
      <c r="CI29" s="33"/>
      <c r="CJ29" s="33"/>
      <c r="CK29" s="33"/>
      <c r="CL29" s="33"/>
      <c r="CM29" s="33"/>
      <c r="CN29" s="33"/>
      <c r="CO29" s="33"/>
      <c r="CP29" s="33"/>
      <c r="CQ29" s="33"/>
      <c r="CR29" s="33"/>
      <c r="CS29" s="33"/>
      <c r="CT29" s="33"/>
      <c r="CU29" s="33"/>
      <c r="CV29" s="33"/>
      <c r="CW29" s="33"/>
      <c r="CX29" s="33"/>
      <c r="CY29" s="33"/>
      <c r="CZ29" s="33"/>
      <c r="DA29" s="33"/>
      <c r="DB29" s="33"/>
      <c r="DC29" s="33"/>
      <c r="DD29" s="33"/>
      <c r="DE29" s="33"/>
      <c r="DF29" s="33"/>
      <c r="DG29" s="33"/>
      <c r="DH29" s="33"/>
      <c r="DI29" s="33"/>
      <c r="DJ29" s="33"/>
      <c r="DK29" s="33"/>
      <c r="DL29" s="33"/>
      <c r="DM29" s="33"/>
      <c r="DN29" s="33"/>
      <c r="DO29" s="33"/>
      <c r="DP29" s="33"/>
      <c r="DQ29" s="33"/>
      <c r="DR29" s="33"/>
      <c r="DS29" s="33"/>
      <c r="DT29" s="33"/>
      <c r="DU29" s="33"/>
      <c r="DV29" s="33"/>
      <c r="DW29" s="33"/>
      <c r="DX29" s="33"/>
      <c r="DY29" s="33"/>
      <c r="DZ29" s="33"/>
      <c r="EA29" s="33"/>
      <c r="EB29" s="33"/>
      <c r="EC29" s="33"/>
      <c r="ED29" s="33"/>
      <c r="EE29" s="33"/>
      <c r="EF29" s="33"/>
      <c r="EG29" s="33"/>
      <c r="EH29" s="33"/>
      <c r="EI29" s="33"/>
      <c r="EJ29" s="33"/>
      <c r="EK29" s="33"/>
      <c r="EL29" s="33"/>
      <c r="EM29" s="33"/>
      <c r="EN29" s="33"/>
      <c r="EO29" s="33"/>
      <c r="EP29" s="33"/>
    </row>
    <row r="30" spans="1:174" s="32" customFormat="1" ht="33.6" customHeight="1" x14ac:dyDescent="0.25">
      <c r="B30" s="648" t="s">
        <v>252</v>
      </c>
      <c r="C30" s="648"/>
      <c r="D30" s="648"/>
      <c r="E30" s="636"/>
      <c r="F30" s="636"/>
      <c r="G30" s="636"/>
      <c r="H30" s="636"/>
      <c r="I30" s="636"/>
      <c r="J30" s="636"/>
      <c r="K30" s="636"/>
      <c r="L30" s="636"/>
      <c r="M30" s="636"/>
      <c r="N30" s="636"/>
      <c r="O30" s="636"/>
      <c r="P30" s="642"/>
      <c r="Q30" s="642"/>
      <c r="R30" s="642"/>
      <c r="S30" s="642"/>
      <c r="T30" s="642"/>
      <c r="U30" s="642"/>
      <c r="V30" s="561"/>
      <c r="W30" s="561"/>
      <c r="X30" s="561"/>
      <c r="Y30" s="561"/>
      <c r="Z30" s="561"/>
      <c r="AA30" s="643"/>
      <c r="AB30" s="643"/>
      <c r="AC30" s="643"/>
      <c r="AD30" s="643"/>
      <c r="AE30" s="561"/>
      <c r="AF30" s="561"/>
      <c r="AG30" s="561"/>
      <c r="AH30" s="561"/>
      <c r="AI30" s="561"/>
      <c r="AJ30" s="561"/>
      <c r="AK30" s="230"/>
      <c r="AL30" s="381"/>
      <c r="AM30" s="670"/>
      <c r="AN30" s="670"/>
      <c r="AO30" s="670"/>
      <c r="AP30" s="670"/>
      <c r="AQ30" s="670"/>
      <c r="AR30" s="670"/>
      <c r="AS30" s="670"/>
      <c r="AT30" s="670"/>
      <c r="AU30" s="670"/>
      <c r="AV30" s="670"/>
      <c r="AW30" s="670"/>
      <c r="AX30" s="670"/>
      <c r="AY30" s="670"/>
      <c r="AZ30" s="670"/>
      <c r="BA30" s="33"/>
      <c r="BB30" s="33"/>
      <c r="BC30" s="33"/>
      <c r="BD30" s="33"/>
      <c r="BE30" s="33"/>
      <c r="BF30" s="33"/>
      <c r="BG30" s="33"/>
      <c r="BH30" s="33"/>
      <c r="BI30" s="33"/>
      <c r="BJ30" s="33"/>
      <c r="BK30" s="33"/>
      <c r="BL30" s="33"/>
      <c r="BM30" s="33"/>
      <c r="BN30" s="33"/>
      <c r="BO30" s="33"/>
      <c r="BP30" s="33"/>
      <c r="BQ30" s="33"/>
      <c r="BR30" s="33"/>
      <c r="BS30" s="33"/>
      <c r="BT30" s="33"/>
      <c r="BU30" s="33"/>
      <c r="BV30" s="33"/>
      <c r="BW30" s="33"/>
      <c r="BX30" s="33"/>
      <c r="BY30" s="33"/>
      <c r="BZ30" s="33"/>
      <c r="CA30" s="33"/>
      <c r="CB30" s="33"/>
      <c r="CC30" s="33"/>
      <c r="CD30" s="33"/>
      <c r="CE30" s="33"/>
      <c r="CF30" s="33"/>
      <c r="CG30" s="33"/>
      <c r="CH30" s="33"/>
      <c r="CI30" s="33"/>
      <c r="CJ30" s="33"/>
      <c r="CK30" s="33"/>
      <c r="CL30" s="33"/>
      <c r="CM30" s="33"/>
      <c r="CN30" s="33"/>
      <c r="CO30" s="33"/>
      <c r="CP30" s="33"/>
      <c r="CQ30" s="33"/>
      <c r="CR30" s="33"/>
      <c r="CS30" s="33"/>
      <c r="CT30" s="33"/>
      <c r="CU30" s="33"/>
      <c r="CV30" s="33"/>
      <c r="CW30" s="33"/>
      <c r="CX30" s="33"/>
      <c r="CY30" s="33"/>
      <c r="CZ30" s="33"/>
      <c r="DA30" s="33"/>
      <c r="DB30" s="33"/>
      <c r="DC30" s="33"/>
      <c r="DD30" s="33"/>
      <c r="DE30" s="33"/>
      <c r="DF30" s="33"/>
      <c r="DG30" s="33"/>
      <c r="DH30" s="33"/>
      <c r="DI30" s="33"/>
      <c r="DJ30" s="33"/>
      <c r="DK30" s="33"/>
      <c r="DL30" s="33"/>
      <c r="DM30" s="33"/>
      <c r="DN30" s="33"/>
      <c r="DO30" s="33"/>
      <c r="DP30" s="33"/>
      <c r="DQ30" s="33"/>
      <c r="DR30" s="33"/>
      <c r="DS30" s="33"/>
      <c r="DT30" s="33"/>
      <c r="DU30" s="33"/>
      <c r="DV30" s="33"/>
      <c r="DW30" s="33"/>
      <c r="DX30" s="33"/>
      <c r="DY30" s="33"/>
      <c r="DZ30" s="33"/>
      <c r="EA30" s="33"/>
      <c r="EB30" s="33"/>
      <c r="EC30" s="33"/>
      <c r="ED30" s="33"/>
      <c r="EE30" s="33"/>
      <c r="EF30" s="33"/>
      <c r="EG30" s="33"/>
      <c r="EH30" s="33"/>
      <c r="EI30" s="33"/>
      <c r="EJ30" s="33"/>
      <c r="EK30" s="33"/>
      <c r="EL30" s="33"/>
      <c r="EM30" s="33"/>
      <c r="EN30" s="33"/>
      <c r="EO30" s="33"/>
      <c r="EP30" s="33"/>
    </row>
    <row r="31" spans="1:174" s="32" customFormat="1" ht="33.6" customHeight="1" x14ac:dyDescent="0.25">
      <c r="B31" s="648" t="s">
        <v>253</v>
      </c>
      <c r="C31" s="648"/>
      <c r="D31" s="648"/>
      <c r="E31" s="636"/>
      <c r="F31" s="636"/>
      <c r="G31" s="636"/>
      <c r="H31" s="636"/>
      <c r="I31" s="636"/>
      <c r="J31" s="636"/>
      <c r="K31" s="636"/>
      <c r="L31" s="636"/>
      <c r="M31" s="636"/>
      <c r="N31" s="636"/>
      <c r="O31" s="636"/>
      <c r="P31" s="642"/>
      <c r="Q31" s="642"/>
      <c r="R31" s="642"/>
      <c r="S31" s="642"/>
      <c r="T31" s="642"/>
      <c r="U31" s="642"/>
      <c r="V31" s="561"/>
      <c r="W31" s="561"/>
      <c r="X31" s="561"/>
      <c r="Y31" s="561"/>
      <c r="Z31" s="561"/>
      <c r="AA31" s="643"/>
      <c r="AB31" s="643"/>
      <c r="AC31" s="643"/>
      <c r="AD31" s="643"/>
      <c r="AE31" s="561"/>
      <c r="AF31" s="561"/>
      <c r="AG31" s="561"/>
      <c r="AH31" s="561"/>
      <c r="AI31" s="561"/>
      <c r="AJ31" s="561"/>
      <c r="AK31" s="230"/>
      <c r="AL31" s="381"/>
      <c r="AM31" s="670"/>
      <c r="AN31" s="670"/>
      <c r="AO31" s="670"/>
      <c r="AP31" s="670"/>
      <c r="AQ31" s="670"/>
      <c r="AR31" s="670"/>
      <c r="AS31" s="670"/>
      <c r="AT31" s="670"/>
      <c r="AU31" s="670"/>
      <c r="AV31" s="670"/>
      <c r="AW31" s="670"/>
      <c r="AX31" s="670"/>
      <c r="AY31" s="670"/>
      <c r="AZ31" s="670"/>
      <c r="BA31" s="33"/>
      <c r="BB31" s="33"/>
      <c r="BC31" s="33"/>
      <c r="BD31" s="33"/>
      <c r="BE31" s="33"/>
      <c r="BF31" s="33"/>
      <c r="BG31" s="33"/>
      <c r="BH31" s="33"/>
      <c r="BI31" s="33"/>
      <c r="BJ31" s="33"/>
      <c r="BK31" s="33"/>
      <c r="BL31" s="33"/>
      <c r="BM31" s="33"/>
      <c r="BN31" s="33"/>
      <c r="BO31" s="33"/>
      <c r="BP31" s="33"/>
      <c r="BQ31" s="33"/>
      <c r="BR31" s="33"/>
      <c r="BS31" s="33"/>
      <c r="BT31" s="33"/>
      <c r="BU31" s="33"/>
      <c r="BV31" s="33"/>
      <c r="BW31" s="33"/>
      <c r="BX31" s="33"/>
      <c r="BY31" s="33"/>
      <c r="BZ31" s="33"/>
      <c r="CA31" s="33"/>
      <c r="CB31" s="33"/>
      <c r="CC31" s="33"/>
      <c r="CD31" s="33"/>
      <c r="CE31" s="33"/>
      <c r="CF31" s="33"/>
      <c r="CG31" s="33"/>
      <c r="CH31" s="33"/>
      <c r="CI31" s="33"/>
      <c r="CJ31" s="33"/>
      <c r="CK31" s="33"/>
      <c r="CL31" s="33"/>
      <c r="CM31" s="33"/>
      <c r="CN31" s="33"/>
      <c r="CO31" s="33"/>
      <c r="CP31" s="33"/>
      <c r="CQ31" s="33"/>
      <c r="CR31" s="33"/>
      <c r="CS31" s="33"/>
      <c r="CT31" s="33"/>
      <c r="CU31" s="33"/>
      <c r="CV31" s="33"/>
      <c r="CW31" s="33"/>
      <c r="CX31" s="33"/>
      <c r="CY31" s="33"/>
      <c r="CZ31" s="33"/>
      <c r="DA31" s="33"/>
      <c r="DB31" s="33"/>
      <c r="DC31" s="33"/>
      <c r="DD31" s="33"/>
      <c r="DE31" s="33"/>
      <c r="DF31" s="33"/>
      <c r="DG31" s="33"/>
      <c r="DH31" s="33"/>
      <c r="DI31" s="33"/>
      <c r="DJ31" s="33"/>
      <c r="DK31" s="33"/>
      <c r="DL31" s="33"/>
      <c r="DM31" s="33"/>
      <c r="DN31" s="33"/>
      <c r="DO31" s="33"/>
      <c r="DP31" s="33"/>
      <c r="DQ31" s="33"/>
      <c r="DR31" s="33"/>
      <c r="DS31" s="33"/>
      <c r="DT31" s="33"/>
      <c r="DU31" s="33"/>
      <c r="DV31" s="33"/>
      <c r="DW31" s="33"/>
      <c r="DX31" s="33"/>
      <c r="DY31" s="33"/>
      <c r="DZ31" s="33"/>
      <c r="EA31" s="33"/>
      <c r="EB31" s="33"/>
      <c r="EC31" s="33"/>
      <c r="ED31" s="33"/>
      <c r="EE31" s="33"/>
      <c r="EF31" s="33"/>
      <c r="EG31" s="33"/>
      <c r="EH31" s="33"/>
      <c r="EI31" s="33"/>
      <c r="EJ31" s="33"/>
      <c r="EK31" s="33"/>
      <c r="EL31" s="33"/>
      <c r="EM31" s="33"/>
      <c r="EN31" s="33"/>
      <c r="EO31" s="33"/>
      <c r="EP31" s="33"/>
    </row>
    <row r="32" spans="1:174" s="32" customFormat="1" ht="33.6" customHeight="1" x14ac:dyDescent="0.25">
      <c r="B32" s="648" t="s">
        <v>254</v>
      </c>
      <c r="C32" s="648"/>
      <c r="D32" s="648"/>
      <c r="E32" s="636"/>
      <c r="F32" s="636"/>
      <c r="G32" s="636"/>
      <c r="H32" s="636"/>
      <c r="I32" s="636"/>
      <c r="J32" s="636"/>
      <c r="K32" s="636"/>
      <c r="L32" s="636"/>
      <c r="M32" s="636"/>
      <c r="N32" s="636"/>
      <c r="O32" s="636"/>
      <c r="P32" s="642"/>
      <c r="Q32" s="642"/>
      <c r="R32" s="642"/>
      <c r="S32" s="642"/>
      <c r="T32" s="642"/>
      <c r="U32" s="642"/>
      <c r="V32" s="561"/>
      <c r="W32" s="561"/>
      <c r="X32" s="561"/>
      <c r="Y32" s="561"/>
      <c r="Z32" s="561"/>
      <c r="AA32" s="643"/>
      <c r="AB32" s="643"/>
      <c r="AC32" s="643"/>
      <c r="AD32" s="643"/>
      <c r="AE32" s="561"/>
      <c r="AF32" s="561"/>
      <c r="AG32" s="561"/>
      <c r="AH32" s="561"/>
      <c r="AI32" s="561"/>
      <c r="AJ32" s="561"/>
      <c r="AK32" s="230"/>
      <c r="AL32" s="381"/>
      <c r="AM32" s="670"/>
      <c r="AN32" s="670"/>
      <c r="AO32" s="670"/>
      <c r="AP32" s="670"/>
      <c r="AQ32" s="670"/>
      <c r="AR32" s="670"/>
      <c r="AS32" s="670"/>
      <c r="AT32" s="670"/>
      <c r="AU32" s="670"/>
      <c r="AV32" s="670"/>
      <c r="AW32" s="670"/>
      <c r="AX32" s="670"/>
      <c r="AY32" s="670"/>
      <c r="AZ32" s="670"/>
      <c r="BA32" s="33"/>
      <c r="BB32" s="33"/>
      <c r="BC32" s="33"/>
      <c r="BD32" s="33"/>
      <c r="BE32" s="33"/>
      <c r="BF32" s="33"/>
      <c r="BG32" s="33"/>
      <c r="BH32" s="33"/>
      <c r="BI32" s="33"/>
      <c r="BJ32" s="33"/>
      <c r="BK32" s="33"/>
      <c r="BL32" s="33"/>
      <c r="BM32" s="33"/>
      <c r="BN32" s="33"/>
      <c r="BO32" s="33"/>
      <c r="BP32" s="33"/>
      <c r="BQ32" s="33"/>
      <c r="BR32" s="33"/>
      <c r="BS32" s="33"/>
      <c r="BT32" s="33"/>
      <c r="BU32" s="33"/>
      <c r="BV32" s="33"/>
      <c r="BW32" s="33"/>
      <c r="BX32" s="33"/>
      <c r="BY32" s="33"/>
      <c r="BZ32" s="33"/>
      <c r="CA32" s="33"/>
      <c r="CB32" s="33"/>
      <c r="CC32" s="33"/>
      <c r="CD32" s="33"/>
      <c r="CE32" s="33"/>
      <c r="CF32" s="33"/>
      <c r="CG32" s="33"/>
      <c r="CH32" s="33"/>
      <c r="CI32" s="33"/>
      <c r="CJ32" s="33"/>
      <c r="CK32" s="33"/>
      <c r="CL32" s="33"/>
      <c r="CM32" s="33"/>
      <c r="CN32" s="33"/>
      <c r="CO32" s="33"/>
      <c r="CP32" s="33"/>
      <c r="CQ32" s="33"/>
      <c r="CR32" s="33"/>
      <c r="CS32" s="33"/>
      <c r="CT32" s="33"/>
      <c r="CU32" s="33"/>
      <c r="CV32" s="33"/>
      <c r="CW32" s="33"/>
      <c r="CX32" s="33"/>
      <c r="CY32" s="33"/>
      <c r="CZ32" s="33"/>
      <c r="DA32" s="33"/>
      <c r="DB32" s="33"/>
      <c r="DC32" s="33"/>
      <c r="DD32" s="33"/>
      <c r="DE32" s="33"/>
      <c r="DF32" s="33"/>
      <c r="DG32" s="33"/>
      <c r="DH32" s="33"/>
      <c r="DI32" s="33"/>
      <c r="DJ32" s="33"/>
      <c r="DK32" s="33"/>
      <c r="DL32" s="33"/>
      <c r="DM32" s="33"/>
      <c r="DN32" s="33"/>
      <c r="DO32" s="33"/>
      <c r="DP32" s="33"/>
      <c r="DQ32" s="33"/>
      <c r="DR32" s="33"/>
      <c r="DS32" s="33"/>
      <c r="DT32" s="33"/>
      <c r="DU32" s="33"/>
      <c r="DV32" s="33"/>
      <c r="DW32" s="33"/>
      <c r="DX32" s="33"/>
      <c r="DY32" s="33"/>
      <c r="DZ32" s="33"/>
      <c r="EA32" s="33"/>
      <c r="EB32" s="33"/>
      <c r="EC32" s="33"/>
      <c r="ED32" s="33"/>
      <c r="EE32" s="33"/>
      <c r="EF32" s="33"/>
      <c r="EG32" s="33"/>
      <c r="EH32" s="33"/>
      <c r="EI32" s="33"/>
      <c r="EJ32" s="33"/>
      <c r="EK32" s="33"/>
      <c r="EL32" s="33"/>
      <c r="EM32" s="33"/>
      <c r="EN32" s="33"/>
      <c r="EO32" s="33"/>
      <c r="EP32" s="33"/>
    </row>
    <row r="33" spans="1:160" s="32" customFormat="1" ht="33.6" customHeight="1" x14ac:dyDescent="0.25">
      <c r="B33" s="648" t="s">
        <v>255</v>
      </c>
      <c r="C33" s="648"/>
      <c r="D33" s="648"/>
      <c r="E33" s="636"/>
      <c r="F33" s="636"/>
      <c r="G33" s="636"/>
      <c r="H33" s="636"/>
      <c r="I33" s="636"/>
      <c r="J33" s="636"/>
      <c r="K33" s="636"/>
      <c r="L33" s="636"/>
      <c r="M33" s="636"/>
      <c r="N33" s="636"/>
      <c r="O33" s="636"/>
      <c r="P33" s="642"/>
      <c r="Q33" s="642"/>
      <c r="R33" s="642"/>
      <c r="S33" s="642"/>
      <c r="T33" s="642"/>
      <c r="U33" s="642"/>
      <c r="V33" s="561"/>
      <c r="W33" s="561"/>
      <c r="X33" s="561"/>
      <c r="Y33" s="561"/>
      <c r="Z33" s="561"/>
      <c r="AA33" s="643"/>
      <c r="AB33" s="643"/>
      <c r="AC33" s="643"/>
      <c r="AD33" s="643"/>
      <c r="AE33" s="561"/>
      <c r="AF33" s="561"/>
      <c r="AG33" s="561"/>
      <c r="AH33" s="561"/>
      <c r="AI33" s="561"/>
      <c r="AJ33" s="561"/>
      <c r="AK33" s="230"/>
      <c r="AL33" s="381"/>
      <c r="AM33" s="670"/>
      <c r="AN33" s="670"/>
      <c r="AO33" s="670"/>
      <c r="AP33" s="670"/>
      <c r="AQ33" s="670"/>
      <c r="AR33" s="670"/>
      <c r="AS33" s="670"/>
      <c r="AT33" s="670"/>
      <c r="AU33" s="670"/>
      <c r="AV33" s="670"/>
      <c r="AW33" s="670"/>
      <c r="AX33" s="670"/>
      <c r="AY33" s="670"/>
      <c r="AZ33" s="670"/>
      <c r="BA33" s="33"/>
      <c r="BB33" s="33"/>
      <c r="BC33" s="33"/>
      <c r="BD33" s="33"/>
      <c r="BE33" s="33"/>
      <c r="BF33" s="33"/>
      <c r="BG33" s="33"/>
      <c r="BH33" s="33"/>
      <c r="BI33" s="33"/>
      <c r="BJ33" s="33"/>
      <c r="BK33" s="33"/>
      <c r="BL33" s="33"/>
      <c r="BM33" s="33"/>
      <c r="BN33" s="33"/>
      <c r="BO33" s="33"/>
      <c r="BP33" s="33"/>
      <c r="BQ33" s="33"/>
      <c r="BR33" s="33"/>
      <c r="BS33" s="33"/>
      <c r="BT33" s="33"/>
      <c r="BU33" s="33"/>
      <c r="BV33" s="33"/>
      <c r="BW33" s="33"/>
      <c r="BX33" s="33"/>
      <c r="BY33" s="33"/>
      <c r="BZ33" s="33"/>
      <c r="CA33" s="33"/>
      <c r="CB33" s="33"/>
      <c r="CC33" s="33"/>
      <c r="CD33" s="33"/>
      <c r="CE33" s="33"/>
      <c r="CF33" s="33"/>
      <c r="CG33" s="33"/>
      <c r="CH33" s="33"/>
      <c r="CI33" s="33"/>
      <c r="CJ33" s="33"/>
      <c r="CK33" s="33"/>
      <c r="CL33" s="33"/>
      <c r="CM33" s="33"/>
      <c r="CN33" s="33"/>
      <c r="CO33" s="33"/>
      <c r="CP33" s="33"/>
      <c r="CQ33" s="33"/>
      <c r="CR33" s="33"/>
      <c r="CS33" s="33"/>
      <c r="CT33" s="33"/>
      <c r="CU33" s="33"/>
      <c r="CV33" s="33"/>
      <c r="CW33" s="33"/>
      <c r="CX33" s="33"/>
      <c r="CY33" s="33"/>
      <c r="CZ33" s="33"/>
      <c r="DA33" s="33"/>
      <c r="DB33" s="33"/>
      <c r="DC33" s="33"/>
      <c r="DD33" s="33"/>
      <c r="DE33" s="33"/>
      <c r="DF33" s="33"/>
      <c r="DG33" s="33"/>
      <c r="DH33" s="33"/>
      <c r="DI33" s="33"/>
      <c r="DJ33" s="33"/>
      <c r="DK33" s="33"/>
      <c r="DL33" s="33"/>
      <c r="DM33" s="33"/>
      <c r="DN33" s="33"/>
      <c r="DO33" s="33"/>
      <c r="DP33" s="33"/>
      <c r="DQ33" s="33"/>
      <c r="DR33" s="33"/>
      <c r="DS33" s="33"/>
      <c r="DT33" s="33"/>
      <c r="DU33" s="33"/>
      <c r="DV33" s="33"/>
      <c r="DW33" s="33"/>
      <c r="DX33" s="33"/>
      <c r="DY33" s="33"/>
      <c r="DZ33" s="33"/>
      <c r="EA33" s="33"/>
      <c r="EB33" s="33"/>
      <c r="EC33" s="33"/>
      <c r="ED33" s="33"/>
      <c r="EE33" s="33"/>
      <c r="EF33" s="33"/>
      <c r="EG33" s="33"/>
      <c r="EH33" s="33"/>
      <c r="EI33" s="33"/>
      <c r="EJ33" s="33"/>
      <c r="EK33" s="33"/>
      <c r="EL33" s="33"/>
      <c r="EM33" s="33"/>
      <c r="EN33" s="33"/>
      <c r="EO33" s="33"/>
      <c r="EP33" s="33"/>
    </row>
    <row r="34" spans="1:160" s="32" customFormat="1" ht="33.6" customHeight="1" x14ac:dyDescent="0.25">
      <c r="B34" s="648" t="s">
        <v>256</v>
      </c>
      <c r="C34" s="648"/>
      <c r="D34" s="648"/>
      <c r="E34" s="636"/>
      <c r="F34" s="636"/>
      <c r="G34" s="636"/>
      <c r="H34" s="636"/>
      <c r="I34" s="636"/>
      <c r="J34" s="636"/>
      <c r="K34" s="636"/>
      <c r="L34" s="636"/>
      <c r="M34" s="636"/>
      <c r="N34" s="636"/>
      <c r="O34" s="636"/>
      <c r="P34" s="642"/>
      <c r="Q34" s="642"/>
      <c r="R34" s="642"/>
      <c r="S34" s="642"/>
      <c r="T34" s="642"/>
      <c r="U34" s="642"/>
      <c r="V34" s="561"/>
      <c r="W34" s="561"/>
      <c r="X34" s="561"/>
      <c r="Y34" s="561"/>
      <c r="Z34" s="561"/>
      <c r="AA34" s="643"/>
      <c r="AB34" s="643"/>
      <c r="AC34" s="643"/>
      <c r="AD34" s="643"/>
      <c r="AE34" s="561"/>
      <c r="AF34" s="561"/>
      <c r="AG34" s="561"/>
      <c r="AH34" s="561"/>
      <c r="AI34" s="561"/>
      <c r="AJ34" s="561"/>
      <c r="AK34" s="230"/>
      <c r="AL34" s="381"/>
      <c r="AM34" s="670"/>
      <c r="AN34" s="670"/>
      <c r="AO34" s="670"/>
      <c r="AP34" s="670"/>
      <c r="AQ34" s="670"/>
      <c r="AR34" s="670"/>
      <c r="AS34" s="670"/>
      <c r="AT34" s="670"/>
      <c r="AU34" s="670"/>
      <c r="AV34" s="670"/>
      <c r="AW34" s="670"/>
      <c r="AX34" s="670"/>
      <c r="AY34" s="670"/>
      <c r="AZ34" s="670"/>
      <c r="BA34" s="33"/>
      <c r="BB34" s="33"/>
      <c r="BC34" s="33"/>
      <c r="BD34" s="33"/>
      <c r="BE34" s="33"/>
      <c r="BF34" s="33"/>
      <c r="BG34" s="33"/>
      <c r="BH34" s="33"/>
      <c r="BI34" s="33"/>
      <c r="BJ34" s="33"/>
      <c r="BK34" s="33"/>
      <c r="BL34" s="33"/>
      <c r="BM34" s="33"/>
      <c r="BN34" s="33"/>
      <c r="BO34" s="33"/>
      <c r="BP34" s="33"/>
      <c r="BQ34" s="33"/>
      <c r="BR34" s="33"/>
      <c r="BS34" s="33"/>
      <c r="BT34" s="33"/>
      <c r="BU34" s="33"/>
      <c r="BV34" s="33"/>
      <c r="BW34" s="33"/>
      <c r="BX34" s="33"/>
      <c r="BY34" s="33"/>
      <c r="BZ34" s="33"/>
      <c r="CA34" s="33"/>
      <c r="CB34" s="33"/>
      <c r="CC34" s="33"/>
      <c r="CD34" s="33"/>
      <c r="CE34" s="33"/>
      <c r="CF34" s="33"/>
      <c r="CG34" s="33"/>
      <c r="CH34" s="33"/>
      <c r="CI34" s="33"/>
      <c r="CJ34" s="33"/>
      <c r="CK34" s="33"/>
      <c r="CL34" s="33"/>
      <c r="CM34" s="33"/>
      <c r="CN34" s="33"/>
      <c r="CO34" s="33"/>
      <c r="CP34" s="33"/>
      <c r="CQ34" s="33"/>
      <c r="CR34" s="33"/>
      <c r="CS34" s="33"/>
      <c r="CT34" s="33"/>
      <c r="CU34" s="33"/>
      <c r="CV34" s="33"/>
      <c r="CW34" s="33"/>
      <c r="CX34" s="33"/>
      <c r="CY34" s="33"/>
      <c r="CZ34" s="33"/>
      <c r="DA34" s="33"/>
      <c r="DB34" s="33"/>
      <c r="DC34" s="33"/>
      <c r="DD34" s="33"/>
      <c r="DE34" s="33"/>
      <c r="DF34" s="33"/>
      <c r="DG34" s="33"/>
      <c r="DH34" s="33"/>
      <c r="DI34" s="33"/>
      <c r="DJ34" s="33"/>
      <c r="DK34" s="33"/>
      <c r="DL34" s="33"/>
      <c r="DM34" s="33"/>
      <c r="DN34" s="33"/>
      <c r="DO34" s="33"/>
      <c r="DP34" s="33"/>
      <c r="DQ34" s="33"/>
      <c r="DR34" s="33"/>
      <c r="DS34" s="33"/>
      <c r="DT34" s="33"/>
      <c r="DU34" s="33"/>
      <c r="DV34" s="33"/>
      <c r="DW34" s="33"/>
      <c r="DX34" s="33"/>
      <c r="DY34" s="33"/>
      <c r="DZ34" s="33"/>
      <c r="EA34" s="33"/>
      <c r="EB34" s="33"/>
      <c r="EC34" s="33"/>
      <c r="ED34" s="33"/>
      <c r="EE34" s="33"/>
      <c r="EF34" s="33"/>
      <c r="EG34" s="33"/>
      <c r="EH34" s="33"/>
      <c r="EI34" s="33"/>
      <c r="EJ34" s="33"/>
      <c r="EK34" s="33"/>
      <c r="EL34" s="33"/>
      <c r="EM34" s="33"/>
      <c r="EN34" s="33"/>
      <c r="EO34" s="33"/>
      <c r="EP34" s="33"/>
    </row>
    <row r="35" spans="1:160" ht="40.200000000000003" customHeight="1" x14ac:dyDescent="0.3">
      <c r="B35" s="666" t="s">
        <v>218</v>
      </c>
      <c r="C35" s="667"/>
      <c r="D35" s="667"/>
      <c r="E35" s="667"/>
      <c r="F35" s="667"/>
      <c r="G35" s="667"/>
      <c r="H35" s="667"/>
      <c r="I35" s="667"/>
      <c r="J35" s="667"/>
      <c r="K35" s="667"/>
      <c r="L35" s="667"/>
      <c r="M35" s="667"/>
      <c r="N35" s="667"/>
      <c r="O35" s="667"/>
      <c r="P35" s="667"/>
      <c r="Q35" s="667"/>
      <c r="R35" s="667"/>
      <c r="S35" s="667"/>
      <c r="T35" s="667"/>
      <c r="U35" s="667"/>
      <c r="V35" s="667"/>
      <c r="W35" s="667"/>
      <c r="X35" s="667"/>
      <c r="Y35" s="667"/>
      <c r="Z35" s="668"/>
      <c r="AA35" s="664">
        <f>SUM(AA25:AD34)</f>
        <v>0</v>
      </c>
      <c r="AB35" s="664"/>
      <c r="AC35" s="664"/>
      <c r="AD35" s="664"/>
      <c r="AE35" s="665"/>
      <c r="AF35" s="665"/>
      <c r="AG35" s="665"/>
      <c r="AH35" s="665"/>
      <c r="AI35" s="665"/>
      <c r="AJ35" s="665"/>
      <c r="AK35" s="76"/>
      <c r="AL35" s="436">
        <f>SUM(AL25:AL34)</f>
        <v>0</v>
      </c>
      <c r="AM35" s="673"/>
      <c r="AN35" s="673"/>
      <c r="AO35" s="673"/>
      <c r="AP35" s="673"/>
      <c r="AQ35" s="673"/>
      <c r="AR35" s="673"/>
      <c r="AS35" s="673"/>
      <c r="AT35" s="673"/>
      <c r="AU35" s="673"/>
      <c r="AV35" s="673"/>
      <c r="AW35" s="673"/>
      <c r="AX35" s="673"/>
      <c r="AY35" s="673"/>
      <c r="AZ35" s="673"/>
      <c r="BA35" s="39"/>
      <c r="BB35" s="39"/>
      <c r="BC35" s="39"/>
      <c r="BD35" s="39"/>
      <c r="BE35" s="39"/>
      <c r="BF35" s="39"/>
      <c r="BG35" s="39"/>
      <c r="BH35" s="39"/>
      <c r="BI35" s="39"/>
      <c r="BJ35" s="39"/>
      <c r="BK35" s="39"/>
      <c r="BL35" s="39"/>
      <c r="BM35" s="39"/>
      <c r="BN35" s="39"/>
      <c r="BO35" s="39"/>
      <c r="BP35" s="39"/>
      <c r="BQ35" s="39"/>
      <c r="BR35" s="39"/>
      <c r="BS35" s="39"/>
      <c r="BT35" s="39"/>
      <c r="BU35" s="39"/>
      <c r="BV35" s="39"/>
      <c r="BW35" s="39"/>
      <c r="BX35" s="39"/>
      <c r="BY35" s="39"/>
      <c r="BZ35" s="39"/>
      <c r="CA35" s="39"/>
      <c r="CB35" s="39"/>
      <c r="CC35" s="39"/>
      <c r="CD35" s="39"/>
      <c r="CE35" s="39"/>
      <c r="CF35" s="39"/>
      <c r="CG35" s="39"/>
      <c r="CH35" s="39"/>
      <c r="CI35" s="39"/>
      <c r="CJ35" s="39"/>
      <c r="CK35" s="39"/>
      <c r="CL35" s="39"/>
      <c r="CM35" s="39"/>
      <c r="CN35" s="39"/>
      <c r="CO35" s="39"/>
      <c r="CP35" s="39"/>
      <c r="CQ35" s="39"/>
      <c r="CR35" s="39"/>
      <c r="CS35" s="39"/>
      <c r="CT35" s="39"/>
      <c r="CU35" s="39"/>
      <c r="CV35" s="39"/>
      <c r="CW35" s="39"/>
      <c r="CX35" s="39"/>
      <c r="CY35" s="39"/>
      <c r="CZ35" s="39"/>
      <c r="DA35" s="39"/>
      <c r="DB35" s="39"/>
      <c r="DC35" s="39"/>
      <c r="DD35" s="39"/>
      <c r="DE35" s="39"/>
      <c r="DF35" s="39"/>
      <c r="DG35" s="39"/>
      <c r="DH35" s="39"/>
      <c r="DI35" s="39"/>
      <c r="DJ35" s="39"/>
      <c r="DK35" s="39"/>
      <c r="DL35" s="39"/>
      <c r="DM35" s="39"/>
      <c r="DN35" s="39"/>
      <c r="DO35" s="39"/>
      <c r="DP35" s="39"/>
      <c r="DQ35" s="39"/>
      <c r="DR35" s="39"/>
      <c r="DS35" s="39"/>
      <c r="DT35" s="39"/>
      <c r="DU35" s="39"/>
      <c r="DV35" s="39"/>
      <c r="DW35" s="39"/>
      <c r="DX35" s="39"/>
      <c r="DY35" s="39"/>
      <c r="DZ35" s="39"/>
      <c r="EA35" s="39"/>
      <c r="EB35" s="39"/>
      <c r="EC35" s="39"/>
      <c r="ED35" s="39"/>
      <c r="EE35" s="39"/>
      <c r="EF35" s="39"/>
      <c r="EG35" s="39"/>
      <c r="EH35" s="39"/>
      <c r="EI35" s="39"/>
      <c r="EJ35" s="39"/>
      <c r="EK35" s="39"/>
      <c r="EL35" s="39"/>
      <c r="EM35" s="39"/>
      <c r="EN35" s="39"/>
      <c r="EO35" s="39"/>
      <c r="EP35" s="39"/>
    </row>
    <row r="36" spans="1:160" s="233" customFormat="1" ht="38.4" customHeight="1" x14ac:dyDescent="0.25">
      <c r="A36" s="266" t="s">
        <v>268</v>
      </c>
      <c r="B36" s="571" t="s">
        <v>470</v>
      </c>
      <c r="C36" s="571"/>
      <c r="D36" s="571"/>
      <c r="E36" s="571"/>
      <c r="F36" s="571"/>
      <c r="G36" s="571"/>
      <c r="H36" s="571"/>
      <c r="I36" s="571"/>
      <c r="J36" s="571"/>
      <c r="K36" s="571"/>
      <c r="L36" s="571"/>
      <c r="M36" s="571"/>
      <c r="N36" s="571"/>
      <c r="O36" s="571"/>
      <c r="P36" s="571"/>
      <c r="Q36" s="571"/>
      <c r="R36" s="571"/>
      <c r="S36" s="571"/>
      <c r="T36" s="571"/>
      <c r="U36" s="571"/>
      <c r="V36" s="571"/>
      <c r="W36" s="571"/>
      <c r="X36" s="571"/>
      <c r="Y36" s="571"/>
      <c r="Z36" s="571"/>
      <c r="AA36" s="571"/>
      <c r="AB36" s="571"/>
      <c r="AC36" s="571"/>
      <c r="AD36" s="571"/>
      <c r="AE36" s="571"/>
      <c r="AF36" s="571"/>
      <c r="AG36" s="571"/>
      <c r="AH36" s="571"/>
      <c r="AI36" s="571"/>
      <c r="AJ36" s="571"/>
      <c r="AK36" s="571"/>
      <c r="AL36" s="571"/>
      <c r="AM36" s="571"/>
      <c r="AN36" s="571"/>
      <c r="AO36" s="571"/>
      <c r="AP36" s="571"/>
      <c r="AQ36" s="571"/>
      <c r="AR36" s="571"/>
      <c r="AS36" s="571"/>
      <c r="AT36" s="571"/>
      <c r="AU36" s="571"/>
      <c r="AV36" s="571"/>
      <c r="AW36" s="571"/>
      <c r="AX36" s="571"/>
      <c r="AY36" s="571"/>
      <c r="AZ36" s="571"/>
      <c r="BA36" s="113"/>
      <c r="BB36" s="113"/>
      <c r="BC36" s="113"/>
      <c r="BD36" s="113"/>
      <c r="BE36" s="113"/>
      <c r="BF36" s="113"/>
      <c r="BG36" s="113"/>
      <c r="BH36" s="113"/>
      <c r="BI36" s="113"/>
      <c r="BJ36" s="113"/>
      <c r="BK36" s="113"/>
      <c r="BL36" s="113"/>
      <c r="BM36" s="113"/>
      <c r="BN36" s="113"/>
      <c r="BO36" s="113"/>
      <c r="BP36" s="113"/>
      <c r="BQ36" s="113"/>
      <c r="BR36" s="113"/>
      <c r="BS36" s="113"/>
      <c r="BT36" s="113"/>
      <c r="BU36" s="113"/>
      <c r="BV36" s="113"/>
      <c r="BW36" s="113"/>
      <c r="BX36" s="113"/>
      <c r="BY36" s="113"/>
      <c r="BZ36" s="113"/>
      <c r="CA36" s="113"/>
      <c r="CB36" s="113"/>
      <c r="CC36" s="113"/>
      <c r="CD36" s="113"/>
      <c r="CE36" s="113"/>
      <c r="CF36" s="113"/>
      <c r="CG36" s="113"/>
      <c r="CH36" s="113"/>
      <c r="CI36" s="113"/>
      <c r="CJ36" s="113"/>
      <c r="CK36" s="113"/>
      <c r="CL36" s="113"/>
      <c r="CM36" s="113"/>
      <c r="CN36" s="113"/>
      <c r="CO36" s="113"/>
      <c r="CP36" s="113"/>
      <c r="CQ36" s="113"/>
      <c r="CR36" s="113"/>
      <c r="CS36" s="113"/>
      <c r="CT36" s="113"/>
      <c r="CU36" s="113"/>
      <c r="CV36" s="113"/>
      <c r="CW36" s="113"/>
      <c r="CX36" s="113"/>
      <c r="CY36" s="113"/>
      <c r="CZ36" s="113"/>
      <c r="DA36" s="113"/>
      <c r="DB36" s="113"/>
      <c r="DC36" s="113"/>
      <c r="DD36" s="113"/>
      <c r="DE36" s="113"/>
      <c r="DF36" s="113"/>
      <c r="DG36" s="113"/>
      <c r="DH36" s="113"/>
      <c r="DI36" s="113"/>
      <c r="DJ36" s="113"/>
      <c r="DK36" s="113"/>
      <c r="DL36" s="113"/>
      <c r="DM36" s="113"/>
      <c r="DN36" s="113"/>
      <c r="DO36" s="113"/>
      <c r="DP36" s="113"/>
      <c r="DQ36" s="113"/>
      <c r="DR36" s="113"/>
      <c r="DS36" s="113"/>
      <c r="DT36" s="113"/>
      <c r="DU36" s="113"/>
      <c r="DV36" s="113"/>
      <c r="DW36" s="113"/>
      <c r="DX36" s="113"/>
      <c r="DY36" s="113"/>
      <c r="DZ36" s="113"/>
      <c r="EA36" s="113"/>
      <c r="EB36" s="113"/>
      <c r="EC36" s="113"/>
      <c r="ED36" s="113"/>
      <c r="EE36" s="113"/>
      <c r="EF36" s="113"/>
      <c r="EG36" s="113"/>
      <c r="EH36" s="113"/>
      <c r="EI36" s="113"/>
      <c r="EJ36" s="113"/>
      <c r="EK36" s="113"/>
      <c r="EL36" s="113"/>
      <c r="EM36" s="113"/>
      <c r="EN36" s="113"/>
      <c r="EO36" s="113"/>
      <c r="EP36" s="113"/>
      <c r="EQ36" s="229"/>
      <c r="ER36" s="229"/>
      <c r="ES36" s="229"/>
      <c r="ET36" s="229"/>
      <c r="EU36" s="229"/>
      <c r="EV36" s="229"/>
      <c r="EW36" s="229"/>
      <c r="EX36" s="229"/>
      <c r="EY36" s="229"/>
      <c r="EZ36" s="229"/>
      <c r="FA36" s="229"/>
      <c r="FB36" s="229"/>
      <c r="FC36" s="229"/>
      <c r="FD36" s="229"/>
    </row>
    <row r="37" spans="1:160" s="99" customFormat="1" ht="38.4" customHeight="1" x14ac:dyDescent="0.25">
      <c r="A37" s="11" t="s">
        <v>269</v>
      </c>
      <c r="B37" s="571" t="s">
        <v>262</v>
      </c>
      <c r="C37" s="571"/>
      <c r="D37" s="571"/>
      <c r="E37" s="571"/>
      <c r="F37" s="571"/>
      <c r="G37" s="571"/>
      <c r="H37" s="571"/>
      <c r="I37" s="571"/>
      <c r="J37" s="571"/>
      <c r="K37" s="571"/>
      <c r="L37" s="571"/>
      <c r="M37" s="571"/>
      <c r="N37" s="571"/>
      <c r="O37" s="571"/>
      <c r="P37" s="571"/>
      <c r="Q37" s="571"/>
      <c r="R37" s="571"/>
      <c r="S37" s="571"/>
      <c r="T37" s="571"/>
      <c r="U37" s="571"/>
      <c r="V37" s="571"/>
      <c r="W37" s="571"/>
      <c r="X37" s="571"/>
      <c r="Y37" s="571"/>
      <c r="Z37" s="571"/>
      <c r="AA37" s="571"/>
      <c r="AB37" s="571"/>
      <c r="AC37" s="571"/>
      <c r="AD37" s="571"/>
      <c r="AE37" s="571"/>
      <c r="AF37" s="571"/>
      <c r="AG37" s="571"/>
      <c r="AH37" s="571"/>
      <c r="AI37" s="571"/>
      <c r="AJ37" s="571"/>
      <c r="AK37" s="571"/>
      <c r="AL37" s="571"/>
      <c r="AM37" s="571"/>
      <c r="AN37" s="571"/>
      <c r="AO37" s="571"/>
      <c r="AP37" s="571"/>
      <c r="AQ37" s="571"/>
      <c r="AR37" s="571"/>
      <c r="AS37" s="571"/>
      <c r="AT37" s="571"/>
      <c r="AU37" s="571"/>
      <c r="AV37" s="571"/>
      <c r="AW37" s="571"/>
      <c r="AX37" s="571"/>
      <c r="AY37" s="571"/>
      <c r="AZ37" s="571"/>
      <c r="EP37" s="110"/>
    </row>
    <row r="38" spans="1:160" s="1" customFormat="1" ht="20.25" customHeight="1" x14ac:dyDescent="0.3">
      <c r="B38" s="38"/>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EP38" s="25"/>
    </row>
    <row r="39" spans="1:160" s="14" customFormat="1" ht="66" customHeight="1" x14ac:dyDescent="0.4">
      <c r="A39" s="52" t="s">
        <v>463</v>
      </c>
      <c r="B39" s="53"/>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30"/>
      <c r="AL39" s="30"/>
      <c r="AM39" s="30"/>
      <c r="AN39" s="30"/>
      <c r="AO39" s="30"/>
      <c r="AP39" s="30"/>
      <c r="AQ39" s="30"/>
      <c r="AR39" s="30"/>
      <c r="AS39" s="30"/>
      <c r="AT39" s="30"/>
      <c r="AU39" s="30"/>
      <c r="AV39" s="30"/>
      <c r="AW39" s="30"/>
      <c r="AX39" s="30"/>
      <c r="AY39" s="30"/>
      <c r="AZ39" s="30"/>
    </row>
    <row r="40" spans="1:160" s="32" customFormat="1" ht="19.5" customHeight="1" x14ac:dyDescent="0.3">
      <c r="B40" s="47"/>
      <c r="AL40" s="38"/>
      <c r="AM40" s="38"/>
      <c r="AN40" s="38"/>
      <c r="AO40" s="38"/>
      <c r="AP40" s="38"/>
      <c r="AQ40" s="38"/>
      <c r="AR40" s="38"/>
      <c r="AS40" s="38"/>
      <c r="AT40" s="38"/>
      <c r="AU40" s="38"/>
      <c r="AV40" s="38"/>
      <c r="AW40" s="38"/>
      <c r="AX40" s="38"/>
      <c r="AY40" s="38"/>
      <c r="AZ40" s="38"/>
      <c r="BA40" s="38"/>
      <c r="BB40" s="38"/>
      <c r="BC40" s="38"/>
      <c r="BD40" s="38"/>
      <c r="BE40" s="38"/>
      <c r="BF40" s="38"/>
      <c r="BG40" s="38"/>
      <c r="BH40" s="38"/>
      <c r="BI40" s="38"/>
      <c r="BJ40" s="38"/>
      <c r="BK40" s="38"/>
      <c r="BL40" s="38"/>
      <c r="BM40" s="38"/>
      <c r="BN40" s="38"/>
      <c r="BO40" s="38"/>
      <c r="BP40" s="38"/>
      <c r="BQ40" s="38"/>
      <c r="BR40" s="38"/>
      <c r="BS40" s="38"/>
      <c r="BT40" s="38"/>
      <c r="BU40" s="38"/>
      <c r="BV40" s="38"/>
      <c r="BW40" s="38"/>
      <c r="BX40" s="38"/>
      <c r="BY40" s="38"/>
      <c r="BZ40" s="38"/>
      <c r="CA40" s="38"/>
      <c r="CB40" s="38"/>
      <c r="CC40" s="38"/>
      <c r="CD40" s="38"/>
      <c r="CE40" s="38"/>
      <c r="CF40" s="38"/>
      <c r="CG40" s="38"/>
      <c r="CH40" s="38"/>
      <c r="CI40" s="38"/>
      <c r="CJ40" s="38"/>
      <c r="CK40" s="38"/>
      <c r="CL40" s="38"/>
      <c r="CM40" s="38"/>
      <c r="CN40" s="38"/>
      <c r="CO40" s="38"/>
      <c r="CP40" s="38"/>
      <c r="CQ40" s="38"/>
      <c r="CR40" s="38"/>
      <c r="CS40" s="38"/>
      <c r="CT40" s="38"/>
      <c r="CU40" s="38"/>
      <c r="CV40" s="38"/>
      <c r="CW40" s="38"/>
      <c r="CX40" s="38"/>
      <c r="CY40" s="38"/>
      <c r="CZ40" s="38"/>
      <c r="DA40" s="38"/>
      <c r="DB40" s="38"/>
      <c r="DC40" s="38"/>
      <c r="DD40" s="38"/>
      <c r="DE40" s="38"/>
      <c r="DF40" s="38"/>
      <c r="DG40" s="38"/>
      <c r="DH40" s="38"/>
      <c r="DI40" s="38"/>
      <c r="DJ40" s="38"/>
      <c r="DK40" s="38"/>
      <c r="DL40" s="38"/>
      <c r="DM40" s="38"/>
      <c r="DN40" s="38"/>
      <c r="DO40" s="38"/>
      <c r="DP40" s="38"/>
      <c r="DQ40" s="38"/>
      <c r="DR40" s="38"/>
      <c r="DS40" s="38"/>
      <c r="DT40" s="38"/>
      <c r="DU40" s="38"/>
      <c r="DV40" s="38"/>
      <c r="DW40" s="38"/>
      <c r="DX40" s="38"/>
      <c r="DY40" s="38"/>
      <c r="DZ40" s="38"/>
      <c r="EA40" s="38"/>
      <c r="EB40" s="38"/>
      <c r="EC40" s="38"/>
      <c r="ED40" s="38"/>
      <c r="EE40" s="38"/>
      <c r="EF40" s="38"/>
      <c r="EG40" s="38"/>
      <c r="EH40" s="38"/>
      <c r="EI40" s="38"/>
      <c r="EJ40" s="38"/>
      <c r="EK40" s="38"/>
      <c r="EL40" s="38"/>
      <c r="EM40" s="38"/>
      <c r="EN40" s="38"/>
      <c r="EO40" s="38"/>
      <c r="EP40" s="38"/>
      <c r="EQ40" s="38"/>
      <c r="ER40" s="38"/>
      <c r="ES40" s="38"/>
      <c r="ET40" s="38"/>
      <c r="EU40" s="38"/>
      <c r="EV40" s="38"/>
      <c r="EW40" s="38"/>
      <c r="EX40" s="38"/>
      <c r="EY40" s="38"/>
      <c r="EZ40" s="38"/>
      <c r="FA40" s="38"/>
      <c r="FB40" s="38"/>
    </row>
    <row r="41" spans="1:160" s="55" customFormat="1" ht="22.8" x14ac:dyDescent="0.4">
      <c r="B41" s="692" t="s">
        <v>859</v>
      </c>
      <c r="C41" s="692"/>
      <c r="D41" s="692"/>
      <c r="E41" s="692"/>
      <c r="F41" s="692"/>
      <c r="G41" s="692"/>
      <c r="H41" s="692"/>
      <c r="I41" s="692"/>
      <c r="J41" s="692"/>
      <c r="K41" s="692"/>
      <c r="L41" s="692"/>
      <c r="M41" s="692"/>
      <c r="N41" s="692"/>
      <c r="O41" s="692"/>
      <c r="P41" s="692"/>
      <c r="Q41" s="692"/>
      <c r="R41" s="692"/>
      <c r="S41" s="692"/>
      <c r="T41" s="692"/>
      <c r="U41" s="692"/>
      <c r="V41" s="692"/>
      <c r="W41" s="692"/>
      <c r="X41" s="692"/>
      <c r="Y41" s="692"/>
      <c r="Z41" s="692"/>
      <c r="AA41" s="692"/>
      <c r="AB41" s="692"/>
      <c r="AC41" s="692"/>
      <c r="AD41" s="692"/>
      <c r="AE41" s="692"/>
      <c r="AF41" s="692"/>
      <c r="AG41" s="692"/>
      <c r="AH41" s="692"/>
      <c r="AI41" s="692"/>
      <c r="AJ41" s="692"/>
      <c r="AK41" s="692"/>
      <c r="AL41" s="692"/>
      <c r="AM41" s="692"/>
      <c r="AN41" s="692"/>
      <c r="AO41" s="692"/>
      <c r="AP41" s="692"/>
      <c r="AQ41" s="692"/>
      <c r="AR41" s="692"/>
      <c r="AS41" s="692"/>
      <c r="AT41" s="692"/>
      <c r="AU41" s="692"/>
      <c r="AV41" s="692"/>
      <c r="AW41" s="692"/>
      <c r="AX41" s="692"/>
      <c r="AY41" s="692"/>
      <c r="AZ41" s="692"/>
      <c r="BA41" s="49"/>
      <c r="BB41" s="49"/>
      <c r="BC41" s="49"/>
      <c r="BD41" s="49"/>
      <c r="BE41" s="49"/>
      <c r="BF41" s="49"/>
      <c r="BG41" s="49"/>
      <c r="BH41" s="49"/>
      <c r="BI41" s="49"/>
      <c r="BJ41" s="49"/>
      <c r="BK41" s="49"/>
      <c r="BL41" s="49"/>
      <c r="BM41" s="49"/>
      <c r="BN41" s="49"/>
      <c r="BO41" s="49"/>
      <c r="BP41" s="49"/>
      <c r="BQ41" s="49"/>
      <c r="BR41" s="49"/>
      <c r="BS41" s="49"/>
      <c r="BT41" s="49"/>
      <c r="BU41" s="49"/>
      <c r="BV41" s="49"/>
      <c r="BW41" s="49"/>
      <c r="BX41" s="49"/>
      <c r="BY41" s="49"/>
      <c r="BZ41" s="49"/>
      <c r="CA41" s="49"/>
      <c r="CB41" s="49"/>
      <c r="CC41" s="49"/>
      <c r="CD41" s="49"/>
      <c r="CE41" s="49"/>
      <c r="CF41" s="49"/>
      <c r="CG41" s="49"/>
      <c r="CH41" s="49"/>
      <c r="CI41" s="49"/>
      <c r="CJ41" s="49"/>
      <c r="CK41" s="49"/>
      <c r="CL41" s="49"/>
      <c r="CM41" s="49"/>
      <c r="CN41" s="49"/>
      <c r="CO41" s="49"/>
      <c r="CP41" s="49"/>
      <c r="CQ41" s="49"/>
      <c r="CR41" s="49"/>
      <c r="CS41" s="49"/>
      <c r="CT41" s="49"/>
      <c r="CU41" s="49"/>
      <c r="CV41" s="49"/>
      <c r="CW41" s="49"/>
      <c r="CX41" s="49"/>
      <c r="CY41" s="49"/>
      <c r="CZ41" s="49"/>
      <c r="DA41" s="49"/>
      <c r="DB41" s="49"/>
      <c r="DC41" s="49"/>
      <c r="DD41" s="49"/>
      <c r="DE41" s="49"/>
      <c r="DF41" s="49"/>
      <c r="DG41" s="49"/>
      <c r="DH41" s="49"/>
      <c r="DI41" s="49"/>
      <c r="DJ41" s="49"/>
      <c r="DK41" s="49"/>
      <c r="DL41" s="49"/>
      <c r="DM41" s="49"/>
      <c r="DN41" s="49"/>
      <c r="DO41" s="49"/>
      <c r="DP41" s="49"/>
      <c r="DQ41" s="49"/>
      <c r="DR41" s="49"/>
      <c r="DS41" s="49"/>
      <c r="DT41" s="49"/>
      <c r="DU41" s="49"/>
      <c r="DV41" s="49"/>
      <c r="DW41" s="49"/>
      <c r="DX41" s="49"/>
      <c r="DY41" s="49"/>
      <c r="DZ41" s="49"/>
      <c r="EA41" s="49"/>
      <c r="EB41" s="49"/>
      <c r="EC41" s="49"/>
      <c r="ED41" s="49"/>
      <c r="EE41" s="49"/>
      <c r="EF41" s="49"/>
      <c r="EG41" s="49"/>
      <c r="EH41" s="49"/>
      <c r="EI41" s="49"/>
      <c r="EJ41" s="49"/>
      <c r="EK41" s="49"/>
      <c r="EL41" s="49"/>
      <c r="EM41" s="49"/>
      <c r="EN41" s="49"/>
      <c r="EO41" s="49"/>
      <c r="EP41" s="49"/>
      <c r="EQ41" s="49"/>
      <c r="ER41" s="49"/>
      <c r="ES41" s="49"/>
      <c r="ET41" s="49"/>
      <c r="EU41" s="49"/>
      <c r="EV41" s="49"/>
      <c r="EW41" s="49"/>
      <c r="EX41" s="49"/>
      <c r="EY41" s="49"/>
      <c r="EZ41" s="49"/>
      <c r="FA41" s="49"/>
      <c r="FB41" s="49"/>
      <c r="FC41" s="49"/>
    </row>
    <row r="42" spans="1:160" s="55" customFormat="1" ht="22.8" x14ac:dyDescent="0.4">
      <c r="B42" s="692"/>
      <c r="C42" s="692"/>
      <c r="D42" s="692"/>
      <c r="E42" s="692"/>
      <c r="F42" s="692"/>
      <c r="G42" s="692"/>
      <c r="H42" s="692"/>
      <c r="I42" s="692"/>
      <c r="J42" s="692"/>
      <c r="K42" s="692"/>
      <c r="L42" s="692"/>
      <c r="M42" s="692"/>
      <c r="N42" s="692"/>
      <c r="O42" s="692"/>
      <c r="P42" s="692"/>
      <c r="Q42" s="692"/>
      <c r="R42" s="692"/>
      <c r="S42" s="692"/>
      <c r="T42" s="692"/>
      <c r="U42" s="692"/>
      <c r="V42" s="692"/>
      <c r="W42" s="692"/>
      <c r="X42" s="692"/>
      <c r="Y42" s="692"/>
      <c r="Z42" s="692"/>
      <c r="AA42" s="692"/>
      <c r="AB42" s="692"/>
      <c r="AC42" s="692"/>
      <c r="AD42" s="692"/>
      <c r="AE42" s="692"/>
      <c r="AF42" s="692"/>
      <c r="AG42" s="692"/>
      <c r="AH42" s="692"/>
      <c r="AI42" s="692"/>
      <c r="AJ42" s="692"/>
      <c r="AK42" s="692"/>
      <c r="AL42" s="692"/>
      <c r="AM42" s="692"/>
      <c r="AN42" s="692"/>
      <c r="AO42" s="692"/>
      <c r="AP42" s="692"/>
      <c r="AQ42" s="692"/>
      <c r="AR42" s="692"/>
      <c r="AS42" s="692"/>
      <c r="AT42" s="692"/>
      <c r="AU42" s="692"/>
      <c r="AV42" s="692"/>
      <c r="AW42" s="692"/>
      <c r="AX42" s="692"/>
      <c r="AY42" s="692"/>
      <c r="AZ42" s="692"/>
      <c r="BA42" s="49"/>
      <c r="BB42" s="49"/>
      <c r="BC42" s="49"/>
      <c r="BD42" s="49"/>
      <c r="BE42" s="49"/>
      <c r="BF42" s="49"/>
      <c r="BG42" s="49"/>
      <c r="BH42" s="49"/>
      <c r="BI42" s="49"/>
      <c r="BJ42" s="49"/>
      <c r="BK42" s="49"/>
      <c r="BL42" s="49"/>
      <c r="BM42" s="49"/>
      <c r="BN42" s="49"/>
      <c r="BO42" s="49"/>
      <c r="BP42" s="49"/>
      <c r="BQ42" s="49"/>
      <c r="BR42" s="49"/>
      <c r="BS42" s="49"/>
      <c r="BT42" s="49"/>
      <c r="BU42" s="49"/>
      <c r="BV42" s="49"/>
      <c r="BW42" s="49"/>
      <c r="BX42" s="49"/>
      <c r="BY42" s="49"/>
      <c r="BZ42" s="49"/>
      <c r="CA42" s="49"/>
      <c r="CB42" s="49"/>
      <c r="CC42" s="49"/>
      <c r="CD42" s="49"/>
      <c r="CE42" s="49"/>
      <c r="CF42" s="49"/>
      <c r="CG42" s="49"/>
      <c r="CH42" s="49"/>
      <c r="CI42" s="49"/>
      <c r="CJ42" s="49"/>
      <c r="CK42" s="49"/>
      <c r="CL42" s="49"/>
      <c r="CM42" s="49"/>
      <c r="CN42" s="49"/>
      <c r="CO42" s="49"/>
      <c r="CP42" s="49"/>
      <c r="CQ42" s="49"/>
      <c r="CR42" s="49"/>
      <c r="CS42" s="49"/>
      <c r="CT42" s="49"/>
      <c r="CU42" s="49"/>
      <c r="CV42" s="49"/>
      <c r="CW42" s="49"/>
      <c r="CX42" s="49"/>
      <c r="CY42" s="49"/>
      <c r="CZ42" s="49"/>
      <c r="DA42" s="49"/>
      <c r="DB42" s="49"/>
      <c r="DC42" s="49"/>
      <c r="DD42" s="49"/>
      <c r="DE42" s="49"/>
      <c r="DF42" s="49"/>
      <c r="DG42" s="49"/>
      <c r="DH42" s="49"/>
      <c r="DI42" s="49"/>
      <c r="DJ42" s="49"/>
      <c r="DK42" s="49"/>
      <c r="DL42" s="49"/>
      <c r="DM42" s="49"/>
      <c r="DN42" s="49"/>
      <c r="DO42" s="49"/>
      <c r="DP42" s="49"/>
      <c r="DQ42" s="49"/>
      <c r="DR42" s="49"/>
      <c r="DS42" s="49"/>
      <c r="DT42" s="49"/>
      <c r="DU42" s="49"/>
      <c r="DV42" s="49"/>
      <c r="DW42" s="49"/>
      <c r="DX42" s="49"/>
      <c r="DY42" s="49"/>
      <c r="DZ42" s="49"/>
      <c r="EA42" s="49"/>
      <c r="EB42" s="49"/>
      <c r="EC42" s="49"/>
      <c r="ED42" s="49"/>
      <c r="EE42" s="49"/>
      <c r="EF42" s="49"/>
      <c r="EG42" s="49"/>
      <c r="EH42" s="49"/>
      <c r="EI42" s="49"/>
      <c r="EJ42" s="49"/>
      <c r="EK42" s="49"/>
      <c r="EL42" s="49"/>
      <c r="EM42" s="49"/>
      <c r="EN42" s="49"/>
      <c r="EO42" s="49"/>
      <c r="EP42" s="49"/>
      <c r="EQ42" s="49"/>
      <c r="ER42" s="49"/>
      <c r="ES42" s="49"/>
      <c r="ET42" s="49"/>
      <c r="EU42" s="49"/>
      <c r="EV42" s="49"/>
      <c r="EW42" s="49"/>
      <c r="EX42" s="49"/>
      <c r="EY42" s="49"/>
      <c r="EZ42" s="49"/>
      <c r="FA42" s="49"/>
      <c r="FB42" s="49"/>
      <c r="FC42" s="49"/>
    </row>
    <row r="43" spans="1:160" s="32" customFormat="1" ht="61.2" customHeight="1" x14ac:dyDescent="0.3">
      <c r="B43" s="658" t="s">
        <v>8</v>
      </c>
      <c r="C43" s="659"/>
      <c r="D43" s="660"/>
      <c r="E43" s="658" t="s">
        <v>127</v>
      </c>
      <c r="F43" s="659"/>
      <c r="G43" s="659"/>
      <c r="H43" s="659"/>
      <c r="I43" s="659"/>
      <c r="J43" s="659"/>
      <c r="K43" s="659"/>
      <c r="L43" s="659"/>
      <c r="M43" s="659"/>
      <c r="N43" s="659"/>
      <c r="O43" s="660"/>
      <c r="P43" s="658" t="s">
        <v>128</v>
      </c>
      <c r="Q43" s="659"/>
      <c r="R43" s="660"/>
      <c r="S43" s="658" t="s">
        <v>129</v>
      </c>
      <c r="T43" s="659"/>
      <c r="U43" s="660"/>
      <c r="V43" s="658" t="s">
        <v>130</v>
      </c>
      <c r="W43" s="659"/>
      <c r="X43" s="660"/>
      <c r="Y43" s="624" t="s">
        <v>261</v>
      </c>
      <c r="Z43" s="624"/>
      <c r="AA43" s="562" t="s">
        <v>442</v>
      </c>
      <c r="AB43" s="563"/>
      <c r="AC43" s="563"/>
      <c r="AD43" s="564"/>
      <c r="AE43" s="562" t="s">
        <v>132</v>
      </c>
      <c r="AF43" s="563"/>
      <c r="AG43" s="563"/>
      <c r="AH43" s="563"/>
      <c r="AI43" s="563"/>
      <c r="AJ43" s="564"/>
      <c r="AK43" s="234"/>
      <c r="AL43" s="562" t="s">
        <v>136</v>
      </c>
      <c r="AM43" s="563"/>
      <c r="AN43" s="564"/>
      <c r="AO43" s="621" t="s">
        <v>314</v>
      </c>
      <c r="AP43" s="621"/>
      <c r="AQ43" s="621"/>
      <c r="AR43" s="621"/>
      <c r="AS43" s="621"/>
      <c r="AT43" s="621"/>
      <c r="AU43" s="621"/>
      <c r="AV43" s="621"/>
      <c r="AW43" s="562" t="s">
        <v>442</v>
      </c>
      <c r="AX43" s="563"/>
      <c r="AY43" s="563"/>
      <c r="AZ43" s="564"/>
      <c r="BA43" s="38"/>
      <c r="BB43" s="38"/>
      <c r="BC43" s="38"/>
      <c r="BD43" s="38"/>
      <c r="BE43" s="38"/>
      <c r="BF43" s="38"/>
      <c r="BG43" s="38"/>
      <c r="BH43" s="38"/>
      <c r="BI43" s="38"/>
      <c r="BJ43" s="38"/>
      <c r="BK43" s="38"/>
      <c r="BL43" s="38"/>
      <c r="BM43" s="38"/>
      <c r="BN43" s="38"/>
      <c r="BO43" s="38"/>
      <c r="BP43" s="38"/>
      <c r="BQ43" s="38"/>
      <c r="BR43" s="38"/>
      <c r="BS43" s="38"/>
      <c r="BT43" s="38"/>
      <c r="BU43" s="38"/>
      <c r="BV43" s="38"/>
      <c r="BW43" s="38"/>
      <c r="BX43" s="38"/>
      <c r="BY43" s="38"/>
      <c r="BZ43" s="38"/>
      <c r="CA43" s="38"/>
      <c r="CB43" s="38"/>
      <c r="CC43" s="38"/>
      <c r="CD43" s="38"/>
      <c r="CE43" s="38"/>
      <c r="CF43" s="38"/>
      <c r="CG43" s="38"/>
      <c r="CH43" s="38"/>
      <c r="CI43" s="38"/>
      <c r="CJ43" s="38"/>
      <c r="CK43" s="38"/>
      <c r="CL43" s="38"/>
      <c r="CM43" s="38"/>
      <c r="CN43" s="38"/>
      <c r="CO43" s="38"/>
      <c r="CP43" s="38"/>
      <c r="CQ43" s="38"/>
      <c r="CR43" s="38"/>
      <c r="CS43" s="38"/>
      <c r="CT43" s="38"/>
      <c r="CU43" s="38"/>
      <c r="CV43" s="38"/>
      <c r="CW43" s="38"/>
      <c r="CX43" s="38"/>
      <c r="CY43" s="38"/>
      <c r="CZ43" s="38"/>
      <c r="DA43" s="38"/>
      <c r="DB43" s="38"/>
      <c r="DC43" s="38"/>
      <c r="DD43" s="38"/>
      <c r="DE43" s="38"/>
      <c r="DF43" s="38"/>
      <c r="DG43" s="38"/>
      <c r="DH43" s="38"/>
      <c r="DI43" s="38"/>
      <c r="DJ43" s="38"/>
      <c r="DK43" s="38"/>
      <c r="DL43" s="38"/>
      <c r="DM43" s="38"/>
      <c r="DN43" s="38"/>
      <c r="DO43" s="38"/>
      <c r="DP43" s="38"/>
      <c r="DQ43" s="38"/>
      <c r="DR43" s="38"/>
      <c r="DS43" s="38"/>
      <c r="DT43" s="38"/>
      <c r="DU43" s="38"/>
      <c r="DV43" s="38"/>
      <c r="DW43" s="38"/>
      <c r="DX43" s="38"/>
      <c r="DY43" s="38"/>
      <c r="DZ43" s="38"/>
      <c r="EA43" s="38"/>
      <c r="EB43" s="38"/>
      <c r="EC43" s="38"/>
      <c r="ED43" s="38"/>
      <c r="EE43" s="38"/>
      <c r="EF43" s="38"/>
      <c r="EG43" s="38"/>
      <c r="EH43" s="38"/>
      <c r="EI43" s="38"/>
      <c r="EJ43" s="38"/>
      <c r="EK43" s="38"/>
      <c r="EL43" s="38"/>
      <c r="EM43" s="38"/>
      <c r="EN43" s="38"/>
      <c r="EO43" s="38"/>
      <c r="EP43" s="38"/>
      <c r="EQ43" s="38"/>
      <c r="ER43" s="38"/>
      <c r="ES43" s="38"/>
      <c r="ET43" s="38"/>
      <c r="EU43" s="38"/>
      <c r="EV43" s="38"/>
      <c r="EW43" s="38"/>
      <c r="EX43" s="38"/>
      <c r="EY43" s="38"/>
      <c r="EZ43" s="38"/>
      <c r="FA43" s="38"/>
      <c r="FB43" s="38"/>
      <c r="FC43" s="38"/>
    </row>
    <row r="44" spans="1:160" s="32" customFormat="1" ht="33.6" customHeight="1" x14ac:dyDescent="0.3">
      <c r="A44" s="38"/>
      <c r="B44" s="652" t="s">
        <v>11</v>
      </c>
      <c r="C44" s="653"/>
      <c r="D44" s="654"/>
      <c r="E44" s="636"/>
      <c r="F44" s="636"/>
      <c r="G44" s="636"/>
      <c r="H44" s="636"/>
      <c r="I44" s="636"/>
      <c r="J44" s="636"/>
      <c r="K44" s="636"/>
      <c r="L44" s="636"/>
      <c r="M44" s="636"/>
      <c r="N44" s="636"/>
      <c r="O44" s="636"/>
      <c r="P44" s="561"/>
      <c r="Q44" s="561"/>
      <c r="R44" s="561"/>
      <c r="S44" s="561"/>
      <c r="T44" s="561"/>
      <c r="U44" s="561"/>
      <c r="V44" s="561"/>
      <c r="W44" s="561"/>
      <c r="X44" s="561"/>
      <c r="Y44" s="561"/>
      <c r="Z44" s="561"/>
      <c r="AA44" s="565"/>
      <c r="AB44" s="565"/>
      <c r="AC44" s="565"/>
      <c r="AD44" s="565"/>
      <c r="AE44" s="633" t="s">
        <v>294</v>
      </c>
      <c r="AF44" s="634"/>
      <c r="AG44" s="634"/>
      <c r="AH44" s="634"/>
      <c r="AI44" s="634"/>
      <c r="AJ44" s="635"/>
      <c r="AK44" s="236"/>
      <c r="AL44" s="633" t="s">
        <v>293</v>
      </c>
      <c r="AM44" s="634"/>
      <c r="AN44" s="635"/>
      <c r="AO44" s="561" t="s">
        <v>295</v>
      </c>
      <c r="AP44" s="561"/>
      <c r="AQ44" s="561"/>
      <c r="AR44" s="561"/>
      <c r="AS44" s="561"/>
      <c r="AT44" s="561"/>
      <c r="AU44" s="561"/>
      <c r="AV44" s="561"/>
      <c r="AW44" s="565"/>
      <c r="AX44" s="565"/>
      <c r="AY44" s="565"/>
      <c r="AZ44" s="565"/>
      <c r="BA44" s="38"/>
      <c r="BB44" s="38"/>
      <c r="BC44" s="38"/>
      <c r="BD44" s="38"/>
      <c r="BE44" s="38"/>
      <c r="BF44" s="38"/>
      <c r="BG44" s="38"/>
      <c r="BH44" s="38"/>
      <c r="BI44" s="38"/>
      <c r="BJ44" s="38"/>
      <c r="BK44" s="38"/>
      <c r="BL44" s="38"/>
      <c r="BM44" s="38"/>
      <c r="BN44" s="38"/>
      <c r="BO44" s="38"/>
      <c r="BP44" s="38"/>
      <c r="BQ44" s="38"/>
      <c r="BR44" s="38"/>
      <c r="BS44" s="38"/>
      <c r="BT44" s="38"/>
      <c r="BU44" s="38"/>
      <c r="BV44" s="38"/>
      <c r="BW44" s="38"/>
      <c r="BX44" s="38"/>
      <c r="BY44" s="38"/>
      <c r="BZ44" s="38"/>
      <c r="CA44" s="38"/>
      <c r="CB44" s="38"/>
      <c r="CC44" s="38"/>
      <c r="CD44" s="38"/>
      <c r="CE44" s="38"/>
      <c r="CF44" s="38"/>
      <c r="CG44" s="38"/>
      <c r="CH44" s="38"/>
      <c r="CI44" s="38"/>
      <c r="CJ44" s="38"/>
      <c r="CK44" s="38"/>
      <c r="CL44" s="38"/>
      <c r="CM44" s="38"/>
      <c r="CN44" s="38"/>
      <c r="CO44" s="38"/>
      <c r="CP44" s="38"/>
      <c r="CQ44" s="38"/>
      <c r="CR44" s="38"/>
      <c r="CS44" s="38"/>
      <c r="CT44" s="38"/>
      <c r="CU44" s="38"/>
      <c r="CV44" s="38"/>
      <c r="CW44" s="38"/>
      <c r="CX44" s="38"/>
      <c r="CY44" s="38"/>
      <c r="CZ44" s="38"/>
      <c r="DA44" s="38"/>
      <c r="DB44" s="38"/>
      <c r="DC44" s="38"/>
      <c r="DD44" s="38"/>
      <c r="DE44" s="38"/>
      <c r="DF44" s="38"/>
      <c r="DG44" s="38"/>
      <c r="DH44" s="38"/>
      <c r="DI44" s="38"/>
      <c r="DJ44" s="38"/>
      <c r="DK44" s="38"/>
      <c r="DL44" s="38"/>
      <c r="DM44" s="38"/>
      <c r="DN44" s="38"/>
      <c r="DO44" s="38"/>
      <c r="DP44" s="38"/>
      <c r="DQ44" s="38"/>
      <c r="DR44" s="38"/>
      <c r="DS44" s="38"/>
      <c r="DT44" s="38"/>
      <c r="DU44" s="38"/>
      <c r="DV44" s="38"/>
      <c r="DW44" s="38"/>
      <c r="DX44" s="38"/>
      <c r="DY44" s="38"/>
      <c r="DZ44" s="38"/>
      <c r="EA44" s="38"/>
      <c r="EB44" s="38"/>
      <c r="EC44" s="38"/>
      <c r="ED44" s="38"/>
      <c r="EE44" s="38"/>
      <c r="EF44" s="38"/>
      <c r="EG44" s="38"/>
      <c r="EH44" s="38"/>
      <c r="EI44" s="38"/>
      <c r="EJ44" s="38"/>
      <c r="EK44" s="38"/>
      <c r="EL44" s="38"/>
      <c r="EM44" s="38"/>
      <c r="EN44" s="38"/>
      <c r="EO44" s="38"/>
      <c r="EP44" s="38"/>
      <c r="EQ44" s="38"/>
      <c r="ER44" s="38"/>
      <c r="ES44" s="38"/>
      <c r="ET44" s="38"/>
      <c r="EU44" s="38"/>
      <c r="EV44" s="38"/>
      <c r="EW44" s="38"/>
      <c r="EX44" s="38"/>
      <c r="EY44" s="38"/>
      <c r="EZ44" s="38"/>
      <c r="FA44" s="38"/>
      <c r="FB44" s="38"/>
      <c r="FC44" s="38"/>
    </row>
    <row r="45" spans="1:160" ht="33.6" customHeight="1" x14ac:dyDescent="0.3">
      <c r="B45" s="652" t="s">
        <v>12</v>
      </c>
      <c r="C45" s="653"/>
      <c r="D45" s="654"/>
      <c r="E45" s="655"/>
      <c r="F45" s="656"/>
      <c r="G45" s="656"/>
      <c r="H45" s="656"/>
      <c r="I45" s="656"/>
      <c r="J45" s="656"/>
      <c r="K45" s="656"/>
      <c r="L45" s="656"/>
      <c r="M45" s="656"/>
      <c r="N45" s="656"/>
      <c r="O45" s="657"/>
      <c r="P45" s="561"/>
      <c r="Q45" s="561"/>
      <c r="R45" s="561"/>
      <c r="S45" s="561"/>
      <c r="T45" s="561"/>
      <c r="U45" s="561"/>
      <c r="V45" s="561"/>
      <c r="W45" s="561"/>
      <c r="X45" s="561"/>
      <c r="Y45" s="561"/>
      <c r="Z45" s="561"/>
      <c r="AA45" s="565"/>
      <c r="AB45" s="565"/>
      <c r="AC45" s="565"/>
      <c r="AD45" s="565"/>
      <c r="AE45" s="633"/>
      <c r="AF45" s="634"/>
      <c r="AG45" s="634"/>
      <c r="AH45" s="634"/>
      <c r="AI45" s="634"/>
      <c r="AJ45" s="635"/>
      <c r="AK45" s="236"/>
      <c r="AL45" s="633"/>
      <c r="AM45" s="634"/>
      <c r="AN45" s="635"/>
      <c r="AO45" s="561"/>
      <c r="AP45" s="561"/>
      <c r="AQ45" s="561"/>
      <c r="AR45" s="561"/>
      <c r="AS45" s="561"/>
      <c r="AT45" s="561"/>
      <c r="AU45" s="561"/>
      <c r="AV45" s="561"/>
      <c r="AW45" s="565"/>
      <c r="AX45" s="565"/>
      <c r="AY45" s="565"/>
      <c r="AZ45" s="565"/>
    </row>
    <row r="46" spans="1:160" ht="33.6" customHeight="1" x14ac:dyDescent="0.3">
      <c r="B46" s="652" t="s">
        <v>133</v>
      </c>
      <c r="C46" s="653"/>
      <c r="D46" s="654"/>
      <c r="E46" s="636"/>
      <c r="F46" s="636"/>
      <c r="G46" s="636"/>
      <c r="H46" s="636"/>
      <c r="I46" s="636"/>
      <c r="J46" s="636"/>
      <c r="K46" s="636"/>
      <c r="L46" s="636"/>
      <c r="M46" s="636"/>
      <c r="N46" s="636"/>
      <c r="O46" s="636"/>
      <c r="P46" s="561"/>
      <c r="Q46" s="561"/>
      <c r="R46" s="561"/>
      <c r="S46" s="561"/>
      <c r="T46" s="561"/>
      <c r="U46" s="561"/>
      <c r="V46" s="561"/>
      <c r="W46" s="561"/>
      <c r="X46" s="561"/>
      <c r="Y46" s="561"/>
      <c r="Z46" s="561"/>
      <c r="AA46" s="565"/>
      <c r="AB46" s="565"/>
      <c r="AC46" s="565"/>
      <c r="AD46" s="565"/>
      <c r="AE46" s="633"/>
      <c r="AF46" s="634"/>
      <c r="AG46" s="634"/>
      <c r="AH46" s="634"/>
      <c r="AI46" s="634"/>
      <c r="AJ46" s="635"/>
      <c r="AK46" s="236"/>
      <c r="AL46" s="633"/>
      <c r="AM46" s="634"/>
      <c r="AN46" s="635"/>
      <c r="AO46" s="561"/>
      <c r="AP46" s="561"/>
      <c r="AQ46" s="561"/>
      <c r="AR46" s="561"/>
      <c r="AS46" s="561"/>
      <c r="AT46" s="561"/>
      <c r="AU46" s="561"/>
      <c r="AV46" s="561"/>
      <c r="AW46" s="565"/>
      <c r="AX46" s="565"/>
      <c r="AY46" s="565"/>
      <c r="AZ46" s="565"/>
    </row>
    <row r="47" spans="1:160" ht="33.6" customHeight="1" x14ac:dyDescent="0.3">
      <c r="B47" s="652" t="s">
        <v>134</v>
      </c>
      <c r="C47" s="653"/>
      <c r="D47" s="654"/>
      <c r="E47" s="636"/>
      <c r="F47" s="636"/>
      <c r="G47" s="636"/>
      <c r="H47" s="636"/>
      <c r="I47" s="636"/>
      <c r="J47" s="636"/>
      <c r="K47" s="636"/>
      <c r="L47" s="636"/>
      <c r="M47" s="636"/>
      <c r="N47" s="636"/>
      <c r="O47" s="636"/>
      <c r="P47" s="561"/>
      <c r="Q47" s="561"/>
      <c r="R47" s="561"/>
      <c r="S47" s="561"/>
      <c r="T47" s="561"/>
      <c r="U47" s="561"/>
      <c r="V47" s="561"/>
      <c r="W47" s="561"/>
      <c r="X47" s="561"/>
      <c r="Y47" s="561"/>
      <c r="Z47" s="561"/>
      <c r="AA47" s="565"/>
      <c r="AB47" s="565"/>
      <c r="AC47" s="565"/>
      <c r="AD47" s="565"/>
      <c r="AE47" s="633"/>
      <c r="AF47" s="634"/>
      <c r="AG47" s="634"/>
      <c r="AH47" s="634"/>
      <c r="AI47" s="634"/>
      <c r="AJ47" s="635"/>
      <c r="AK47" s="236"/>
      <c r="AL47" s="633"/>
      <c r="AM47" s="634"/>
      <c r="AN47" s="635"/>
      <c r="AO47" s="561"/>
      <c r="AP47" s="561"/>
      <c r="AQ47" s="561"/>
      <c r="AR47" s="561"/>
      <c r="AS47" s="561"/>
      <c r="AT47" s="561"/>
      <c r="AU47" s="561"/>
      <c r="AV47" s="561"/>
      <c r="AW47" s="565"/>
      <c r="AX47" s="565"/>
      <c r="AY47" s="565"/>
      <c r="AZ47" s="565"/>
    </row>
    <row r="48" spans="1:160" ht="33.6" customHeight="1" x14ac:dyDescent="0.3">
      <c r="B48" s="652" t="s">
        <v>135</v>
      </c>
      <c r="C48" s="653"/>
      <c r="D48" s="654"/>
      <c r="E48" s="636"/>
      <c r="F48" s="636"/>
      <c r="G48" s="636"/>
      <c r="H48" s="636"/>
      <c r="I48" s="636"/>
      <c r="J48" s="636"/>
      <c r="K48" s="636"/>
      <c r="L48" s="636"/>
      <c r="M48" s="636"/>
      <c r="N48" s="636"/>
      <c r="O48" s="636"/>
      <c r="P48" s="561"/>
      <c r="Q48" s="561"/>
      <c r="R48" s="561"/>
      <c r="S48" s="561"/>
      <c r="T48" s="561"/>
      <c r="U48" s="561"/>
      <c r="V48" s="561"/>
      <c r="W48" s="561"/>
      <c r="X48" s="561"/>
      <c r="Y48" s="561"/>
      <c r="Z48" s="561"/>
      <c r="AA48" s="565"/>
      <c r="AB48" s="565"/>
      <c r="AC48" s="565"/>
      <c r="AD48" s="565"/>
      <c r="AE48" s="633"/>
      <c r="AF48" s="634"/>
      <c r="AG48" s="634"/>
      <c r="AH48" s="634"/>
      <c r="AI48" s="634"/>
      <c r="AJ48" s="635"/>
      <c r="AK48" s="236"/>
      <c r="AL48" s="633"/>
      <c r="AM48" s="634"/>
      <c r="AN48" s="635"/>
      <c r="AO48" s="561"/>
      <c r="AP48" s="561"/>
      <c r="AQ48" s="561"/>
      <c r="AR48" s="561"/>
      <c r="AS48" s="561"/>
      <c r="AT48" s="561"/>
      <c r="AU48" s="561"/>
      <c r="AV48" s="561"/>
      <c r="AW48" s="565"/>
      <c r="AX48" s="565"/>
      <c r="AY48" s="565"/>
      <c r="AZ48" s="565"/>
    </row>
    <row r="49" spans="1:52" ht="33.6" customHeight="1" x14ac:dyDescent="0.3">
      <c r="B49" s="652" t="s">
        <v>205</v>
      </c>
      <c r="C49" s="653"/>
      <c r="D49" s="654"/>
      <c r="E49" s="636"/>
      <c r="F49" s="636"/>
      <c r="G49" s="636"/>
      <c r="H49" s="636"/>
      <c r="I49" s="636"/>
      <c r="J49" s="636"/>
      <c r="K49" s="636"/>
      <c r="L49" s="636"/>
      <c r="M49" s="636"/>
      <c r="N49" s="636"/>
      <c r="O49" s="636"/>
      <c r="P49" s="561"/>
      <c r="Q49" s="561"/>
      <c r="R49" s="561"/>
      <c r="S49" s="561"/>
      <c r="T49" s="561"/>
      <c r="U49" s="561"/>
      <c r="V49" s="561"/>
      <c r="W49" s="561"/>
      <c r="X49" s="561"/>
      <c r="Y49" s="561"/>
      <c r="Z49" s="561"/>
      <c r="AA49" s="565"/>
      <c r="AB49" s="565"/>
      <c r="AC49" s="565"/>
      <c r="AD49" s="565"/>
      <c r="AE49" s="633"/>
      <c r="AF49" s="634"/>
      <c r="AG49" s="634"/>
      <c r="AH49" s="634"/>
      <c r="AI49" s="634"/>
      <c r="AJ49" s="635"/>
      <c r="AK49" s="236"/>
      <c r="AL49" s="633"/>
      <c r="AM49" s="634"/>
      <c r="AN49" s="635"/>
      <c r="AO49" s="561"/>
      <c r="AP49" s="561"/>
      <c r="AQ49" s="561"/>
      <c r="AR49" s="561"/>
      <c r="AS49" s="561"/>
      <c r="AT49" s="561"/>
      <c r="AU49" s="561"/>
      <c r="AV49" s="561"/>
      <c r="AW49" s="565"/>
      <c r="AX49" s="565"/>
      <c r="AY49" s="565"/>
      <c r="AZ49" s="565"/>
    </row>
    <row r="50" spans="1:52" ht="33.6" customHeight="1" x14ac:dyDescent="0.3">
      <c r="B50" s="652" t="s">
        <v>206</v>
      </c>
      <c r="C50" s="653"/>
      <c r="D50" s="654"/>
      <c r="E50" s="636"/>
      <c r="F50" s="636"/>
      <c r="G50" s="636"/>
      <c r="H50" s="636"/>
      <c r="I50" s="636"/>
      <c r="J50" s="636"/>
      <c r="K50" s="636"/>
      <c r="L50" s="636"/>
      <c r="M50" s="636"/>
      <c r="N50" s="636"/>
      <c r="O50" s="636"/>
      <c r="P50" s="561"/>
      <c r="Q50" s="561"/>
      <c r="R50" s="561"/>
      <c r="S50" s="561"/>
      <c r="T50" s="561"/>
      <c r="U50" s="561"/>
      <c r="V50" s="561"/>
      <c r="W50" s="561"/>
      <c r="X50" s="561"/>
      <c r="Y50" s="561"/>
      <c r="Z50" s="561"/>
      <c r="AA50" s="565"/>
      <c r="AB50" s="565"/>
      <c r="AC50" s="565"/>
      <c r="AD50" s="565"/>
      <c r="AE50" s="633"/>
      <c r="AF50" s="634"/>
      <c r="AG50" s="634"/>
      <c r="AH50" s="634"/>
      <c r="AI50" s="634"/>
      <c r="AJ50" s="635"/>
      <c r="AK50" s="236"/>
      <c r="AL50" s="633"/>
      <c r="AM50" s="634"/>
      <c r="AN50" s="635"/>
      <c r="AO50" s="561"/>
      <c r="AP50" s="561"/>
      <c r="AQ50" s="561"/>
      <c r="AR50" s="561"/>
      <c r="AS50" s="561"/>
      <c r="AT50" s="561"/>
      <c r="AU50" s="561"/>
      <c r="AV50" s="561"/>
      <c r="AW50" s="565"/>
      <c r="AX50" s="565"/>
      <c r="AY50" s="565"/>
      <c r="AZ50" s="565"/>
    </row>
    <row r="51" spans="1:52" ht="33.6" customHeight="1" x14ac:dyDescent="0.3">
      <c r="B51" s="652" t="s">
        <v>207</v>
      </c>
      <c r="C51" s="653"/>
      <c r="D51" s="654"/>
      <c r="E51" s="636"/>
      <c r="F51" s="636"/>
      <c r="G51" s="636"/>
      <c r="H51" s="636"/>
      <c r="I51" s="636"/>
      <c r="J51" s="636"/>
      <c r="K51" s="636"/>
      <c r="L51" s="636"/>
      <c r="M51" s="636"/>
      <c r="N51" s="636"/>
      <c r="O51" s="636"/>
      <c r="P51" s="561"/>
      <c r="Q51" s="561"/>
      <c r="R51" s="561"/>
      <c r="S51" s="561"/>
      <c r="T51" s="561"/>
      <c r="U51" s="561"/>
      <c r="V51" s="561"/>
      <c r="W51" s="561"/>
      <c r="X51" s="561"/>
      <c r="Y51" s="561"/>
      <c r="Z51" s="561"/>
      <c r="AA51" s="565"/>
      <c r="AB51" s="565"/>
      <c r="AC51" s="565"/>
      <c r="AD51" s="565"/>
      <c r="AE51" s="633"/>
      <c r="AF51" s="634"/>
      <c r="AG51" s="634"/>
      <c r="AH51" s="634"/>
      <c r="AI51" s="634"/>
      <c r="AJ51" s="635"/>
      <c r="AK51" s="236"/>
      <c r="AL51" s="633"/>
      <c r="AM51" s="634"/>
      <c r="AN51" s="635"/>
      <c r="AO51" s="561"/>
      <c r="AP51" s="561"/>
      <c r="AQ51" s="561"/>
      <c r="AR51" s="561"/>
      <c r="AS51" s="561"/>
      <c r="AT51" s="561"/>
      <c r="AU51" s="561"/>
      <c r="AV51" s="561"/>
      <c r="AW51" s="565"/>
      <c r="AX51" s="565"/>
      <c r="AY51" s="565"/>
      <c r="AZ51" s="565"/>
    </row>
    <row r="52" spans="1:52" ht="33.6" customHeight="1" x14ac:dyDescent="0.3">
      <c r="B52" s="652" t="s">
        <v>208</v>
      </c>
      <c r="C52" s="653"/>
      <c r="D52" s="654"/>
      <c r="E52" s="636"/>
      <c r="F52" s="636"/>
      <c r="G52" s="636"/>
      <c r="H52" s="636"/>
      <c r="I52" s="636"/>
      <c r="J52" s="636"/>
      <c r="K52" s="636"/>
      <c r="L52" s="636"/>
      <c r="M52" s="636"/>
      <c r="N52" s="636"/>
      <c r="O52" s="636"/>
      <c r="P52" s="561"/>
      <c r="Q52" s="561"/>
      <c r="R52" s="561"/>
      <c r="S52" s="561"/>
      <c r="T52" s="561"/>
      <c r="U52" s="561"/>
      <c r="V52" s="561"/>
      <c r="W52" s="561"/>
      <c r="X52" s="561"/>
      <c r="Y52" s="561"/>
      <c r="Z52" s="561"/>
      <c r="AA52" s="565"/>
      <c r="AB52" s="565"/>
      <c r="AC52" s="565"/>
      <c r="AD52" s="565"/>
      <c r="AE52" s="633"/>
      <c r="AF52" s="634"/>
      <c r="AG52" s="634"/>
      <c r="AH52" s="634"/>
      <c r="AI52" s="634"/>
      <c r="AJ52" s="635"/>
      <c r="AK52" s="236"/>
      <c r="AL52" s="633"/>
      <c r="AM52" s="634"/>
      <c r="AN52" s="635"/>
      <c r="AO52" s="561"/>
      <c r="AP52" s="561"/>
      <c r="AQ52" s="561"/>
      <c r="AR52" s="561"/>
      <c r="AS52" s="561"/>
      <c r="AT52" s="561"/>
      <c r="AU52" s="561"/>
      <c r="AV52" s="561"/>
      <c r="AW52" s="565"/>
      <c r="AX52" s="565"/>
      <c r="AY52" s="565"/>
      <c r="AZ52" s="565"/>
    </row>
    <row r="53" spans="1:52" ht="33.6" customHeight="1" x14ac:dyDescent="0.3">
      <c r="B53" s="652" t="s">
        <v>209</v>
      </c>
      <c r="C53" s="653"/>
      <c r="D53" s="654"/>
      <c r="E53" s="636"/>
      <c r="F53" s="636"/>
      <c r="G53" s="636"/>
      <c r="H53" s="636"/>
      <c r="I53" s="636"/>
      <c r="J53" s="636"/>
      <c r="K53" s="636"/>
      <c r="L53" s="636"/>
      <c r="M53" s="636"/>
      <c r="N53" s="636"/>
      <c r="O53" s="636"/>
      <c r="P53" s="561"/>
      <c r="Q53" s="561"/>
      <c r="R53" s="561"/>
      <c r="S53" s="561"/>
      <c r="T53" s="561"/>
      <c r="U53" s="561"/>
      <c r="V53" s="561"/>
      <c r="W53" s="561"/>
      <c r="X53" s="561"/>
      <c r="Y53" s="561"/>
      <c r="Z53" s="561"/>
      <c r="AA53" s="565"/>
      <c r="AB53" s="565"/>
      <c r="AC53" s="565"/>
      <c r="AD53" s="565"/>
      <c r="AE53" s="633"/>
      <c r="AF53" s="634"/>
      <c r="AG53" s="634"/>
      <c r="AH53" s="634"/>
      <c r="AI53" s="634"/>
      <c r="AJ53" s="635"/>
      <c r="AK53" s="236"/>
      <c r="AL53" s="633"/>
      <c r="AM53" s="634"/>
      <c r="AN53" s="635"/>
      <c r="AO53" s="561"/>
      <c r="AP53" s="561"/>
      <c r="AQ53" s="561"/>
      <c r="AR53" s="561"/>
      <c r="AS53" s="561"/>
      <c r="AT53" s="561"/>
      <c r="AU53" s="561"/>
      <c r="AV53" s="561"/>
      <c r="AW53" s="565"/>
      <c r="AX53" s="565"/>
      <c r="AY53" s="565"/>
      <c r="AZ53" s="565"/>
    </row>
    <row r="54" spans="1:52" ht="40.200000000000003" customHeight="1" x14ac:dyDescent="0.4">
      <c r="B54" s="628" t="s">
        <v>6</v>
      </c>
      <c r="C54" s="641"/>
      <c r="D54" s="641"/>
      <c r="E54" s="641"/>
      <c r="F54" s="641"/>
      <c r="G54" s="641"/>
      <c r="H54" s="641"/>
      <c r="I54" s="641"/>
      <c r="J54" s="641"/>
      <c r="K54" s="641"/>
      <c r="L54" s="641"/>
      <c r="M54" s="641"/>
      <c r="N54" s="641"/>
      <c r="O54" s="641"/>
      <c r="P54" s="641"/>
      <c r="Q54" s="641"/>
      <c r="R54" s="641"/>
      <c r="S54" s="641"/>
      <c r="T54" s="641"/>
      <c r="U54" s="641"/>
      <c r="V54" s="641"/>
      <c r="W54" s="641"/>
      <c r="X54" s="641"/>
      <c r="Y54" s="641"/>
      <c r="Z54" s="641"/>
      <c r="AA54" s="620">
        <f>SUM(AA44:AD53)</f>
        <v>0</v>
      </c>
      <c r="AB54" s="620"/>
      <c r="AC54" s="620"/>
      <c r="AD54" s="620"/>
      <c r="AE54" s="644"/>
      <c r="AF54" s="645"/>
      <c r="AG54" s="645"/>
      <c r="AH54" s="645"/>
      <c r="AI54" s="645"/>
      <c r="AJ54" s="646"/>
      <c r="AK54" s="93"/>
      <c r="AL54" s="644"/>
      <c r="AM54" s="645"/>
      <c r="AN54" s="646"/>
      <c r="AO54" s="619"/>
      <c r="AP54" s="619"/>
      <c r="AQ54" s="619"/>
      <c r="AR54" s="619"/>
      <c r="AS54" s="619"/>
      <c r="AT54" s="619"/>
      <c r="AU54" s="619"/>
      <c r="AV54" s="619"/>
      <c r="AW54" s="620">
        <f>SUM(AW44:AZ53)</f>
        <v>0</v>
      </c>
      <c r="AX54" s="620"/>
      <c r="AY54" s="620"/>
      <c r="AZ54" s="620"/>
    </row>
    <row r="55" spans="1:52" s="32" customFormat="1" ht="42.6" customHeight="1" x14ac:dyDescent="0.25">
      <c r="A55" s="266" t="s">
        <v>268</v>
      </c>
      <c r="B55" s="571" t="s">
        <v>264</v>
      </c>
      <c r="C55" s="571"/>
      <c r="D55" s="571"/>
      <c r="E55" s="571"/>
      <c r="F55" s="571"/>
      <c r="G55" s="571"/>
      <c r="H55" s="571"/>
      <c r="I55" s="571"/>
      <c r="J55" s="571"/>
      <c r="K55" s="571"/>
      <c r="L55" s="571"/>
      <c r="M55" s="571"/>
      <c r="N55" s="571"/>
      <c r="O55" s="571"/>
      <c r="P55" s="571"/>
      <c r="Q55" s="571"/>
      <c r="R55" s="571"/>
      <c r="S55" s="571"/>
      <c r="T55" s="571"/>
      <c r="U55" s="571"/>
      <c r="V55" s="571"/>
      <c r="W55" s="571"/>
      <c r="X55" s="571"/>
      <c r="Y55" s="571"/>
      <c r="Z55" s="571"/>
      <c r="AA55" s="571"/>
      <c r="AB55" s="571"/>
      <c r="AC55" s="571"/>
      <c r="AD55" s="571"/>
      <c r="AE55" s="571"/>
      <c r="AF55" s="571"/>
      <c r="AG55" s="571"/>
      <c r="AH55" s="571"/>
      <c r="AI55" s="571"/>
      <c r="AJ55" s="571"/>
      <c r="AK55" s="571"/>
      <c r="AL55" s="571"/>
      <c r="AM55" s="571"/>
      <c r="AN55" s="571"/>
      <c r="AO55" s="571"/>
      <c r="AP55" s="571"/>
      <c r="AQ55" s="571"/>
      <c r="AR55" s="571"/>
      <c r="AS55" s="571"/>
      <c r="AT55" s="571"/>
      <c r="AU55" s="571"/>
      <c r="AV55" s="571"/>
      <c r="AW55" s="571"/>
      <c r="AX55" s="571"/>
      <c r="AY55" s="571"/>
      <c r="AZ55" s="571"/>
    </row>
    <row r="56" spans="1:52" s="32" customFormat="1" ht="42.6" customHeight="1" x14ac:dyDescent="0.25">
      <c r="A56" s="266" t="s">
        <v>269</v>
      </c>
      <c r="B56" s="571" t="s">
        <v>458</v>
      </c>
      <c r="C56" s="571"/>
      <c r="D56" s="571"/>
      <c r="E56" s="571"/>
      <c r="F56" s="571"/>
      <c r="G56" s="571"/>
      <c r="H56" s="571"/>
      <c r="I56" s="571"/>
      <c r="J56" s="571"/>
      <c r="K56" s="571"/>
      <c r="L56" s="571"/>
      <c r="M56" s="571"/>
      <c r="N56" s="571"/>
      <c r="O56" s="571"/>
      <c r="P56" s="571"/>
      <c r="Q56" s="571"/>
      <c r="R56" s="571"/>
      <c r="S56" s="571"/>
      <c r="T56" s="571"/>
      <c r="U56" s="571"/>
      <c r="V56" s="571"/>
      <c r="W56" s="571"/>
      <c r="X56" s="571"/>
      <c r="Y56" s="571"/>
      <c r="Z56" s="571"/>
      <c r="AA56" s="571"/>
      <c r="AB56" s="571"/>
      <c r="AC56" s="571"/>
      <c r="AD56" s="571"/>
      <c r="AE56" s="571"/>
      <c r="AF56" s="571"/>
      <c r="AG56" s="571"/>
      <c r="AH56" s="571"/>
      <c r="AI56" s="571"/>
      <c r="AJ56" s="571"/>
      <c r="AK56" s="571"/>
      <c r="AL56" s="571"/>
      <c r="AM56" s="571"/>
      <c r="AN56" s="571"/>
      <c r="AO56" s="571"/>
      <c r="AP56" s="571"/>
      <c r="AQ56" s="571"/>
      <c r="AR56" s="571"/>
      <c r="AS56" s="571"/>
      <c r="AT56" s="571"/>
      <c r="AU56" s="571"/>
      <c r="AV56" s="571"/>
      <c r="AW56" s="571"/>
      <c r="AX56" s="571"/>
      <c r="AY56" s="571"/>
      <c r="AZ56" s="571"/>
    </row>
    <row r="57" spans="1:52" s="32" customFormat="1" ht="42.6" customHeight="1" x14ac:dyDescent="0.25">
      <c r="A57" s="266" t="s">
        <v>270</v>
      </c>
      <c r="B57" s="571" t="s">
        <v>860</v>
      </c>
      <c r="C57" s="571"/>
      <c r="D57" s="571"/>
      <c r="E57" s="571"/>
      <c r="F57" s="571"/>
      <c r="G57" s="571"/>
      <c r="H57" s="571"/>
      <c r="I57" s="571"/>
      <c r="J57" s="571"/>
      <c r="K57" s="571"/>
      <c r="L57" s="571"/>
      <c r="M57" s="571"/>
      <c r="N57" s="571"/>
      <c r="O57" s="571"/>
      <c r="P57" s="571"/>
      <c r="Q57" s="571"/>
      <c r="R57" s="571"/>
      <c r="S57" s="571"/>
      <c r="T57" s="571"/>
      <c r="U57" s="571"/>
      <c r="V57" s="571"/>
      <c r="W57" s="571"/>
      <c r="X57" s="571"/>
      <c r="Y57" s="571"/>
      <c r="Z57" s="571"/>
      <c r="AA57" s="571"/>
      <c r="AB57" s="571"/>
      <c r="AC57" s="571"/>
      <c r="AD57" s="571"/>
      <c r="AE57" s="571"/>
      <c r="AF57" s="571"/>
      <c r="AG57" s="571"/>
      <c r="AH57" s="571"/>
      <c r="AI57" s="571"/>
      <c r="AJ57" s="571"/>
      <c r="AK57" s="571"/>
      <c r="AL57" s="571"/>
      <c r="AM57" s="571"/>
      <c r="AN57" s="571"/>
      <c r="AO57" s="571"/>
      <c r="AP57" s="571"/>
      <c r="AQ57" s="571"/>
      <c r="AR57" s="571"/>
      <c r="AS57" s="571"/>
      <c r="AT57" s="571"/>
      <c r="AU57" s="571"/>
      <c r="AV57" s="571"/>
      <c r="AW57" s="571"/>
      <c r="AX57" s="571"/>
      <c r="AY57" s="571"/>
      <c r="AZ57" s="571"/>
    </row>
    <row r="58" spans="1:52" ht="64.2" customHeight="1" x14ac:dyDescent="0.3"/>
    <row r="59" spans="1:52" s="48" customFormat="1" ht="46.2" customHeight="1" x14ac:dyDescent="0.4">
      <c r="B59" s="692" t="s">
        <v>464</v>
      </c>
      <c r="C59" s="692"/>
      <c r="D59" s="692"/>
      <c r="E59" s="692"/>
      <c r="F59" s="692"/>
      <c r="G59" s="692"/>
      <c r="H59" s="692"/>
      <c r="I59" s="692"/>
      <c r="J59" s="692"/>
      <c r="K59" s="692"/>
      <c r="L59" s="692"/>
      <c r="M59" s="692"/>
      <c r="N59" s="692"/>
      <c r="O59" s="692"/>
      <c r="P59" s="692"/>
      <c r="Q59" s="692"/>
      <c r="R59" s="692"/>
      <c r="S59" s="692"/>
      <c r="T59" s="692"/>
      <c r="U59" s="692"/>
      <c r="V59" s="692"/>
      <c r="W59" s="692"/>
      <c r="X59" s="692"/>
      <c r="Y59" s="692"/>
      <c r="Z59" s="692"/>
      <c r="AA59" s="692"/>
      <c r="AB59" s="692"/>
      <c r="AC59" s="692"/>
      <c r="AD59" s="692"/>
      <c r="AE59" s="692"/>
      <c r="AF59" s="692"/>
      <c r="AG59" s="692"/>
      <c r="AH59" s="692"/>
      <c r="AI59" s="692"/>
      <c r="AJ59" s="692"/>
      <c r="AK59" s="692"/>
      <c r="AL59" s="692"/>
      <c r="AM59" s="692"/>
      <c r="AN59" s="692"/>
      <c r="AO59" s="692"/>
      <c r="AP59" s="692"/>
      <c r="AQ59" s="692"/>
      <c r="AR59" s="692"/>
      <c r="AS59" s="692"/>
      <c r="AT59" s="692"/>
      <c r="AU59" s="692"/>
      <c r="AV59" s="692"/>
      <c r="AW59" s="692"/>
      <c r="AX59" s="692"/>
      <c r="AY59" s="692"/>
      <c r="AZ59" s="692"/>
    </row>
    <row r="60" spans="1:52" s="48" customFormat="1" ht="22.8" x14ac:dyDescent="0.4">
      <c r="B60" s="692"/>
      <c r="C60" s="692"/>
      <c r="D60" s="692"/>
      <c r="E60" s="692"/>
      <c r="F60" s="692"/>
      <c r="G60" s="692"/>
      <c r="H60" s="692"/>
      <c r="I60" s="692"/>
      <c r="J60" s="692"/>
      <c r="K60" s="692"/>
      <c r="L60" s="692"/>
      <c r="M60" s="692"/>
      <c r="N60" s="692"/>
      <c r="O60" s="692"/>
      <c r="P60" s="692"/>
      <c r="Q60" s="692"/>
      <c r="R60" s="692"/>
      <c r="S60" s="692"/>
      <c r="T60" s="692"/>
      <c r="U60" s="692"/>
      <c r="V60" s="692"/>
      <c r="W60" s="692"/>
      <c r="X60" s="692"/>
      <c r="Y60" s="692"/>
      <c r="Z60" s="692"/>
      <c r="AA60" s="692"/>
      <c r="AB60" s="692"/>
      <c r="AC60" s="692"/>
      <c r="AD60" s="692"/>
      <c r="AE60" s="692"/>
      <c r="AF60" s="692"/>
      <c r="AG60" s="692"/>
      <c r="AH60" s="692"/>
      <c r="AI60" s="692"/>
      <c r="AJ60" s="692"/>
      <c r="AK60" s="692"/>
      <c r="AL60" s="692"/>
      <c r="AM60" s="692"/>
      <c r="AN60" s="692"/>
      <c r="AO60" s="692"/>
      <c r="AP60" s="692"/>
      <c r="AQ60" s="692"/>
      <c r="AR60" s="692"/>
      <c r="AS60" s="692"/>
      <c r="AT60" s="692"/>
      <c r="AU60" s="692"/>
      <c r="AV60" s="692"/>
      <c r="AW60" s="692"/>
      <c r="AX60" s="692"/>
      <c r="AY60" s="692"/>
      <c r="AZ60" s="692"/>
    </row>
    <row r="61" spans="1:52" s="236" customFormat="1" ht="60" customHeight="1" x14ac:dyDescent="0.3">
      <c r="B61" s="651" t="s">
        <v>8</v>
      </c>
      <c r="C61" s="651"/>
      <c r="D61" s="651"/>
      <c r="E61" s="566" t="s">
        <v>301</v>
      </c>
      <c r="F61" s="566"/>
      <c r="G61" s="566"/>
      <c r="H61" s="566"/>
      <c r="I61" s="566"/>
      <c r="J61" s="566"/>
      <c r="K61" s="566"/>
      <c r="L61" s="566"/>
      <c r="M61" s="566"/>
      <c r="N61" s="566"/>
      <c r="O61" s="566" t="s">
        <v>137</v>
      </c>
      <c r="P61" s="566"/>
      <c r="Q61" s="566"/>
      <c r="R61" s="566"/>
      <c r="S61" s="566"/>
      <c r="T61" s="566" t="s">
        <v>138</v>
      </c>
      <c r="U61" s="566"/>
      <c r="V61" s="566"/>
      <c r="W61" s="566"/>
      <c r="X61" s="566"/>
      <c r="Y61" s="637" t="s">
        <v>7</v>
      </c>
      <c r="Z61" s="638"/>
      <c r="AA61" s="639"/>
      <c r="AB61" s="595" t="s">
        <v>242</v>
      </c>
      <c r="AC61" s="598"/>
      <c r="AD61" s="598"/>
      <c r="AE61" s="640"/>
      <c r="AF61" s="595" t="s">
        <v>316</v>
      </c>
      <c r="AG61" s="596"/>
      <c r="AH61" s="596"/>
      <c r="AI61" s="596"/>
      <c r="AJ61" s="597"/>
      <c r="AL61" s="595" t="s">
        <v>136</v>
      </c>
      <c r="AM61" s="622"/>
      <c r="AN61" s="623"/>
      <c r="AO61" s="595" t="s">
        <v>299</v>
      </c>
      <c r="AP61" s="598"/>
      <c r="AQ61" s="598"/>
      <c r="AR61" s="598"/>
      <c r="AS61" s="598"/>
      <c r="AT61" s="598"/>
      <c r="AU61" s="598"/>
      <c r="AV61" s="595" t="s">
        <v>317</v>
      </c>
      <c r="AW61" s="596"/>
      <c r="AX61" s="596"/>
      <c r="AY61" s="596"/>
      <c r="AZ61" s="597"/>
    </row>
    <row r="62" spans="1:52" ht="33.6" customHeight="1" x14ac:dyDescent="0.3">
      <c r="B62" s="632" t="s">
        <v>219</v>
      </c>
      <c r="C62" s="632"/>
      <c r="D62" s="632"/>
      <c r="E62" s="616"/>
      <c r="F62" s="616"/>
      <c r="G62" s="616"/>
      <c r="H62" s="616"/>
      <c r="I62" s="616"/>
      <c r="J62" s="616"/>
      <c r="K62" s="616"/>
      <c r="L62" s="616"/>
      <c r="M62" s="616"/>
      <c r="N62" s="616"/>
      <c r="O62" s="616"/>
      <c r="P62" s="616"/>
      <c r="Q62" s="616"/>
      <c r="R62" s="616"/>
      <c r="S62" s="616"/>
      <c r="T62" s="616"/>
      <c r="U62" s="616"/>
      <c r="V62" s="616"/>
      <c r="W62" s="616"/>
      <c r="X62" s="616"/>
      <c r="Y62" s="607"/>
      <c r="Z62" s="608"/>
      <c r="AA62" s="609"/>
      <c r="AB62" s="613"/>
      <c r="AC62" s="614"/>
      <c r="AD62" s="614"/>
      <c r="AE62" s="615"/>
      <c r="AF62" s="604"/>
      <c r="AG62" s="605"/>
      <c r="AH62" s="605"/>
      <c r="AI62" s="605"/>
      <c r="AJ62" s="606"/>
      <c r="AK62" s="178"/>
      <c r="AL62" s="604"/>
      <c r="AM62" s="605"/>
      <c r="AN62" s="606"/>
      <c r="AO62" s="559"/>
      <c r="AP62" s="560"/>
      <c r="AQ62" s="560"/>
      <c r="AR62" s="560"/>
      <c r="AS62" s="560"/>
      <c r="AT62" s="560"/>
      <c r="AU62" s="560"/>
      <c r="AV62" s="568"/>
      <c r="AW62" s="569"/>
      <c r="AX62" s="569"/>
      <c r="AY62" s="569"/>
      <c r="AZ62" s="570"/>
    </row>
    <row r="63" spans="1:52" ht="33.6" customHeight="1" x14ac:dyDescent="0.3">
      <c r="B63" s="632" t="s">
        <v>220</v>
      </c>
      <c r="C63" s="632"/>
      <c r="D63" s="632"/>
      <c r="E63" s="616"/>
      <c r="F63" s="616"/>
      <c r="G63" s="616"/>
      <c r="H63" s="616"/>
      <c r="I63" s="616"/>
      <c r="J63" s="616"/>
      <c r="K63" s="616"/>
      <c r="L63" s="616"/>
      <c r="M63" s="616"/>
      <c r="N63" s="616"/>
      <c r="O63" s="616"/>
      <c r="P63" s="616"/>
      <c r="Q63" s="616"/>
      <c r="R63" s="616"/>
      <c r="S63" s="616"/>
      <c r="T63" s="616"/>
      <c r="U63" s="616"/>
      <c r="V63" s="616"/>
      <c r="W63" s="616"/>
      <c r="X63" s="616"/>
      <c r="Y63" s="607"/>
      <c r="Z63" s="608"/>
      <c r="AA63" s="609"/>
      <c r="AB63" s="613"/>
      <c r="AC63" s="614"/>
      <c r="AD63" s="614"/>
      <c r="AE63" s="615"/>
      <c r="AF63" s="604"/>
      <c r="AG63" s="605"/>
      <c r="AH63" s="605"/>
      <c r="AI63" s="605"/>
      <c r="AJ63" s="606"/>
      <c r="AK63" s="178"/>
      <c r="AL63" s="604"/>
      <c r="AM63" s="605"/>
      <c r="AN63" s="606"/>
      <c r="AO63" s="559"/>
      <c r="AP63" s="560"/>
      <c r="AQ63" s="560"/>
      <c r="AR63" s="560"/>
      <c r="AS63" s="560"/>
      <c r="AT63" s="560"/>
      <c r="AU63" s="560"/>
      <c r="AV63" s="568"/>
      <c r="AW63" s="569"/>
      <c r="AX63" s="569"/>
      <c r="AY63" s="569"/>
      <c r="AZ63" s="570"/>
    </row>
    <row r="64" spans="1:52" ht="33.6" customHeight="1" x14ac:dyDescent="0.3">
      <c r="B64" s="632" t="s">
        <v>221</v>
      </c>
      <c r="C64" s="632"/>
      <c r="D64" s="632"/>
      <c r="E64" s="616"/>
      <c r="F64" s="616"/>
      <c r="G64" s="616"/>
      <c r="H64" s="616"/>
      <c r="I64" s="616"/>
      <c r="J64" s="616"/>
      <c r="K64" s="616"/>
      <c r="L64" s="616"/>
      <c r="M64" s="616"/>
      <c r="N64" s="616"/>
      <c r="O64" s="616"/>
      <c r="P64" s="616"/>
      <c r="Q64" s="616"/>
      <c r="R64" s="616"/>
      <c r="S64" s="616"/>
      <c r="T64" s="616"/>
      <c r="U64" s="616"/>
      <c r="V64" s="616"/>
      <c r="W64" s="616"/>
      <c r="X64" s="616"/>
      <c r="Y64" s="607"/>
      <c r="Z64" s="608"/>
      <c r="AA64" s="609"/>
      <c r="AB64" s="613"/>
      <c r="AC64" s="614"/>
      <c r="AD64" s="614"/>
      <c r="AE64" s="615"/>
      <c r="AF64" s="604"/>
      <c r="AG64" s="605"/>
      <c r="AH64" s="605"/>
      <c r="AI64" s="605"/>
      <c r="AJ64" s="606"/>
      <c r="AK64" s="178"/>
      <c r="AL64" s="604"/>
      <c r="AM64" s="605"/>
      <c r="AN64" s="606"/>
      <c r="AO64" s="559"/>
      <c r="AP64" s="560"/>
      <c r="AQ64" s="560"/>
      <c r="AR64" s="560"/>
      <c r="AS64" s="560"/>
      <c r="AT64" s="560"/>
      <c r="AU64" s="560"/>
      <c r="AV64" s="568"/>
      <c r="AW64" s="569"/>
      <c r="AX64" s="569"/>
      <c r="AY64" s="569"/>
      <c r="AZ64" s="570"/>
    </row>
    <row r="65" spans="1:52" ht="33.6" customHeight="1" x14ac:dyDescent="0.3">
      <c r="B65" s="632" t="s">
        <v>222</v>
      </c>
      <c r="C65" s="632"/>
      <c r="D65" s="632"/>
      <c r="E65" s="616"/>
      <c r="F65" s="616"/>
      <c r="G65" s="616"/>
      <c r="H65" s="616"/>
      <c r="I65" s="616"/>
      <c r="J65" s="616"/>
      <c r="K65" s="616"/>
      <c r="L65" s="616"/>
      <c r="M65" s="616"/>
      <c r="N65" s="616"/>
      <c r="O65" s="616"/>
      <c r="P65" s="616"/>
      <c r="Q65" s="616"/>
      <c r="R65" s="616"/>
      <c r="S65" s="616"/>
      <c r="T65" s="616"/>
      <c r="U65" s="616"/>
      <c r="V65" s="616"/>
      <c r="W65" s="616"/>
      <c r="X65" s="616"/>
      <c r="Y65" s="607"/>
      <c r="Z65" s="608"/>
      <c r="AA65" s="609"/>
      <c r="AB65" s="613"/>
      <c r="AC65" s="614"/>
      <c r="AD65" s="614"/>
      <c r="AE65" s="615"/>
      <c r="AF65" s="604"/>
      <c r="AG65" s="605"/>
      <c r="AH65" s="605"/>
      <c r="AI65" s="605"/>
      <c r="AJ65" s="606"/>
      <c r="AK65" s="178"/>
      <c r="AL65" s="604"/>
      <c r="AM65" s="605"/>
      <c r="AN65" s="606"/>
      <c r="AO65" s="559"/>
      <c r="AP65" s="560"/>
      <c r="AQ65" s="560"/>
      <c r="AR65" s="560"/>
      <c r="AS65" s="560"/>
      <c r="AT65" s="560"/>
      <c r="AU65" s="560"/>
      <c r="AV65" s="568"/>
      <c r="AW65" s="569"/>
      <c r="AX65" s="569"/>
      <c r="AY65" s="569"/>
      <c r="AZ65" s="570"/>
    </row>
    <row r="66" spans="1:52" ht="33.6" customHeight="1" x14ac:dyDescent="0.3">
      <c r="B66" s="632" t="s">
        <v>223</v>
      </c>
      <c r="C66" s="632"/>
      <c r="D66" s="632"/>
      <c r="E66" s="616"/>
      <c r="F66" s="616"/>
      <c r="G66" s="616"/>
      <c r="H66" s="616"/>
      <c r="I66" s="616"/>
      <c r="J66" s="616"/>
      <c r="K66" s="616"/>
      <c r="L66" s="616"/>
      <c r="M66" s="616"/>
      <c r="N66" s="616"/>
      <c r="O66" s="616"/>
      <c r="P66" s="616"/>
      <c r="Q66" s="616"/>
      <c r="R66" s="616"/>
      <c r="S66" s="616"/>
      <c r="T66" s="616"/>
      <c r="U66" s="616"/>
      <c r="V66" s="616"/>
      <c r="W66" s="616"/>
      <c r="X66" s="616"/>
      <c r="Y66" s="607"/>
      <c r="Z66" s="608"/>
      <c r="AA66" s="609"/>
      <c r="AB66" s="613"/>
      <c r="AC66" s="614"/>
      <c r="AD66" s="614"/>
      <c r="AE66" s="615"/>
      <c r="AF66" s="604"/>
      <c r="AG66" s="605"/>
      <c r="AH66" s="605"/>
      <c r="AI66" s="605"/>
      <c r="AJ66" s="606"/>
      <c r="AK66" s="178"/>
      <c r="AL66" s="604"/>
      <c r="AM66" s="605"/>
      <c r="AN66" s="606"/>
      <c r="AO66" s="559"/>
      <c r="AP66" s="560"/>
      <c r="AQ66" s="560"/>
      <c r="AR66" s="560"/>
      <c r="AS66" s="560"/>
      <c r="AT66" s="560"/>
      <c r="AU66" s="560"/>
      <c r="AV66" s="568"/>
      <c r="AW66" s="569"/>
      <c r="AX66" s="569"/>
      <c r="AY66" s="569"/>
      <c r="AZ66" s="570"/>
    </row>
    <row r="67" spans="1:52" ht="33.6" customHeight="1" x14ac:dyDescent="0.3">
      <c r="B67" s="632" t="s">
        <v>224</v>
      </c>
      <c r="C67" s="632"/>
      <c r="D67" s="632"/>
      <c r="E67" s="616"/>
      <c r="F67" s="616"/>
      <c r="G67" s="616"/>
      <c r="H67" s="616"/>
      <c r="I67" s="616"/>
      <c r="J67" s="616"/>
      <c r="K67" s="616"/>
      <c r="L67" s="616"/>
      <c r="M67" s="616"/>
      <c r="N67" s="616"/>
      <c r="O67" s="616"/>
      <c r="P67" s="616"/>
      <c r="Q67" s="616"/>
      <c r="R67" s="616"/>
      <c r="S67" s="616"/>
      <c r="T67" s="616"/>
      <c r="U67" s="616"/>
      <c r="V67" s="616"/>
      <c r="W67" s="616"/>
      <c r="X67" s="616"/>
      <c r="Y67" s="607"/>
      <c r="Z67" s="608"/>
      <c r="AA67" s="609"/>
      <c r="AB67" s="613"/>
      <c r="AC67" s="614"/>
      <c r="AD67" s="614"/>
      <c r="AE67" s="615"/>
      <c r="AF67" s="604"/>
      <c r="AG67" s="605"/>
      <c r="AH67" s="605"/>
      <c r="AI67" s="605"/>
      <c r="AJ67" s="606"/>
      <c r="AK67" s="178"/>
      <c r="AL67" s="604"/>
      <c r="AM67" s="605"/>
      <c r="AN67" s="606"/>
      <c r="AO67" s="559"/>
      <c r="AP67" s="560"/>
      <c r="AQ67" s="560"/>
      <c r="AR67" s="560"/>
      <c r="AS67" s="560"/>
      <c r="AT67" s="560"/>
      <c r="AU67" s="560"/>
      <c r="AV67" s="568"/>
      <c r="AW67" s="569"/>
      <c r="AX67" s="569"/>
      <c r="AY67" s="569"/>
      <c r="AZ67" s="570"/>
    </row>
    <row r="68" spans="1:52" ht="33.6" customHeight="1" x14ac:dyDescent="0.3">
      <c r="B68" s="632" t="s">
        <v>225</v>
      </c>
      <c r="C68" s="632"/>
      <c r="D68" s="632"/>
      <c r="E68" s="616"/>
      <c r="F68" s="616"/>
      <c r="G68" s="616"/>
      <c r="H68" s="616"/>
      <c r="I68" s="616"/>
      <c r="J68" s="616"/>
      <c r="K68" s="616"/>
      <c r="L68" s="616"/>
      <c r="M68" s="616"/>
      <c r="N68" s="616"/>
      <c r="O68" s="616"/>
      <c r="P68" s="616"/>
      <c r="Q68" s="616"/>
      <c r="R68" s="616"/>
      <c r="S68" s="616"/>
      <c r="T68" s="616"/>
      <c r="U68" s="616"/>
      <c r="V68" s="616"/>
      <c r="W68" s="616"/>
      <c r="X68" s="616"/>
      <c r="Y68" s="607"/>
      <c r="Z68" s="608"/>
      <c r="AA68" s="609"/>
      <c r="AB68" s="613"/>
      <c r="AC68" s="614"/>
      <c r="AD68" s="614"/>
      <c r="AE68" s="615"/>
      <c r="AF68" s="604"/>
      <c r="AG68" s="605"/>
      <c r="AH68" s="605"/>
      <c r="AI68" s="605"/>
      <c r="AJ68" s="606"/>
      <c r="AK68" s="178"/>
      <c r="AL68" s="604"/>
      <c r="AM68" s="605"/>
      <c r="AN68" s="606"/>
      <c r="AO68" s="559"/>
      <c r="AP68" s="560"/>
      <c r="AQ68" s="560"/>
      <c r="AR68" s="560"/>
      <c r="AS68" s="560"/>
      <c r="AT68" s="560"/>
      <c r="AU68" s="560"/>
      <c r="AV68" s="568"/>
      <c r="AW68" s="569"/>
      <c r="AX68" s="569"/>
      <c r="AY68" s="569"/>
      <c r="AZ68" s="570"/>
    </row>
    <row r="69" spans="1:52" ht="33.6" customHeight="1" x14ac:dyDescent="0.3">
      <c r="B69" s="632" t="s">
        <v>226</v>
      </c>
      <c r="C69" s="632"/>
      <c r="D69" s="632"/>
      <c r="E69" s="616"/>
      <c r="F69" s="616"/>
      <c r="G69" s="616"/>
      <c r="H69" s="616"/>
      <c r="I69" s="616"/>
      <c r="J69" s="616"/>
      <c r="K69" s="616"/>
      <c r="L69" s="616"/>
      <c r="M69" s="616"/>
      <c r="N69" s="616"/>
      <c r="O69" s="616"/>
      <c r="P69" s="616"/>
      <c r="Q69" s="616"/>
      <c r="R69" s="616"/>
      <c r="S69" s="616"/>
      <c r="T69" s="616"/>
      <c r="U69" s="616"/>
      <c r="V69" s="616"/>
      <c r="W69" s="616"/>
      <c r="X69" s="616"/>
      <c r="Y69" s="607"/>
      <c r="Z69" s="608"/>
      <c r="AA69" s="609"/>
      <c r="AB69" s="613"/>
      <c r="AC69" s="614"/>
      <c r="AD69" s="614"/>
      <c r="AE69" s="615"/>
      <c r="AF69" s="604"/>
      <c r="AG69" s="605"/>
      <c r="AH69" s="605"/>
      <c r="AI69" s="605"/>
      <c r="AJ69" s="606"/>
      <c r="AK69" s="178"/>
      <c r="AL69" s="604"/>
      <c r="AM69" s="605"/>
      <c r="AN69" s="606"/>
      <c r="AO69" s="559"/>
      <c r="AP69" s="560"/>
      <c r="AQ69" s="560"/>
      <c r="AR69" s="560"/>
      <c r="AS69" s="560"/>
      <c r="AT69" s="560"/>
      <c r="AU69" s="560"/>
      <c r="AV69" s="568"/>
      <c r="AW69" s="569"/>
      <c r="AX69" s="569"/>
      <c r="AY69" s="569"/>
      <c r="AZ69" s="570"/>
    </row>
    <row r="70" spans="1:52" ht="33.6" customHeight="1" x14ac:dyDescent="0.3">
      <c r="B70" s="632" t="s">
        <v>227</v>
      </c>
      <c r="C70" s="632"/>
      <c r="D70" s="632"/>
      <c r="E70" s="616"/>
      <c r="F70" s="616"/>
      <c r="G70" s="616"/>
      <c r="H70" s="616"/>
      <c r="I70" s="616"/>
      <c r="J70" s="616"/>
      <c r="K70" s="616"/>
      <c r="L70" s="616"/>
      <c r="M70" s="616"/>
      <c r="N70" s="616"/>
      <c r="O70" s="616"/>
      <c r="P70" s="616"/>
      <c r="Q70" s="616"/>
      <c r="R70" s="616"/>
      <c r="S70" s="616"/>
      <c r="T70" s="616"/>
      <c r="U70" s="616"/>
      <c r="V70" s="616"/>
      <c r="W70" s="616"/>
      <c r="X70" s="616"/>
      <c r="Y70" s="607"/>
      <c r="Z70" s="608"/>
      <c r="AA70" s="609"/>
      <c r="AB70" s="613"/>
      <c r="AC70" s="614"/>
      <c r="AD70" s="614"/>
      <c r="AE70" s="615"/>
      <c r="AF70" s="604"/>
      <c r="AG70" s="605"/>
      <c r="AH70" s="605"/>
      <c r="AI70" s="605"/>
      <c r="AJ70" s="606"/>
      <c r="AK70" s="178"/>
      <c r="AL70" s="604"/>
      <c r="AM70" s="605"/>
      <c r="AN70" s="606"/>
      <c r="AO70" s="559"/>
      <c r="AP70" s="560"/>
      <c r="AQ70" s="560"/>
      <c r="AR70" s="560"/>
      <c r="AS70" s="560"/>
      <c r="AT70" s="560"/>
      <c r="AU70" s="560"/>
      <c r="AV70" s="568"/>
      <c r="AW70" s="569"/>
      <c r="AX70" s="569"/>
      <c r="AY70" s="569"/>
      <c r="AZ70" s="570"/>
    </row>
    <row r="71" spans="1:52" ht="33.6" customHeight="1" x14ac:dyDescent="0.3">
      <c r="B71" s="632" t="s">
        <v>228</v>
      </c>
      <c r="C71" s="632"/>
      <c r="D71" s="632"/>
      <c r="E71" s="616"/>
      <c r="F71" s="616"/>
      <c r="G71" s="616"/>
      <c r="H71" s="616"/>
      <c r="I71" s="616"/>
      <c r="J71" s="616"/>
      <c r="K71" s="616"/>
      <c r="L71" s="616"/>
      <c r="M71" s="616"/>
      <c r="N71" s="616"/>
      <c r="O71" s="616"/>
      <c r="P71" s="616"/>
      <c r="Q71" s="616"/>
      <c r="R71" s="616"/>
      <c r="S71" s="616"/>
      <c r="T71" s="616"/>
      <c r="U71" s="616"/>
      <c r="V71" s="616"/>
      <c r="W71" s="616"/>
      <c r="X71" s="616"/>
      <c r="Y71" s="607"/>
      <c r="Z71" s="608"/>
      <c r="AA71" s="609"/>
      <c r="AB71" s="613"/>
      <c r="AC71" s="614"/>
      <c r="AD71" s="614"/>
      <c r="AE71" s="615"/>
      <c r="AF71" s="604"/>
      <c r="AG71" s="605"/>
      <c r="AH71" s="605"/>
      <c r="AI71" s="605"/>
      <c r="AJ71" s="606"/>
      <c r="AK71" s="178"/>
      <c r="AL71" s="604"/>
      <c r="AM71" s="605"/>
      <c r="AN71" s="606"/>
      <c r="AO71" s="559"/>
      <c r="AP71" s="560"/>
      <c r="AQ71" s="560"/>
      <c r="AR71" s="560"/>
      <c r="AS71" s="560"/>
      <c r="AT71" s="560"/>
      <c r="AU71" s="560"/>
      <c r="AV71" s="568"/>
      <c r="AW71" s="569"/>
      <c r="AX71" s="569"/>
      <c r="AY71" s="569"/>
      <c r="AZ71" s="570"/>
    </row>
    <row r="72" spans="1:52" ht="40.200000000000003" customHeight="1" x14ac:dyDescent="0.4">
      <c r="B72" s="628" t="s">
        <v>6</v>
      </c>
      <c r="C72" s="629"/>
      <c r="D72" s="629"/>
      <c r="E72" s="629"/>
      <c r="F72" s="629"/>
      <c r="G72" s="629"/>
      <c r="H72" s="629"/>
      <c r="I72" s="629"/>
      <c r="J72" s="629"/>
      <c r="K72" s="629"/>
      <c r="L72" s="629"/>
      <c r="M72" s="629"/>
      <c r="N72" s="629"/>
      <c r="O72" s="629"/>
      <c r="P72" s="600"/>
      <c r="Q72" s="600"/>
      <c r="R72" s="600"/>
      <c r="S72" s="600"/>
      <c r="T72" s="600"/>
      <c r="U72" s="600"/>
      <c r="V72" s="600"/>
      <c r="W72" s="600"/>
      <c r="X72" s="601"/>
      <c r="Y72" s="625">
        <f>SUM(Y62:AA71)</f>
        <v>0</v>
      </c>
      <c r="Z72" s="626"/>
      <c r="AA72" s="627"/>
      <c r="AB72" s="610"/>
      <c r="AC72" s="611"/>
      <c r="AD72" s="611"/>
      <c r="AE72" s="612"/>
      <c r="AF72" s="610"/>
      <c r="AG72" s="630"/>
      <c r="AH72" s="630"/>
      <c r="AI72" s="630"/>
      <c r="AJ72" s="631"/>
      <c r="AK72" s="49"/>
      <c r="AL72" s="610"/>
      <c r="AM72" s="617"/>
      <c r="AN72" s="618"/>
      <c r="AO72" s="602"/>
      <c r="AP72" s="603"/>
      <c r="AQ72" s="603"/>
      <c r="AR72" s="603"/>
      <c r="AS72" s="603"/>
      <c r="AT72" s="603"/>
      <c r="AU72" s="603"/>
      <c r="AV72" s="599"/>
      <c r="AW72" s="600"/>
      <c r="AX72" s="600"/>
      <c r="AY72" s="600"/>
      <c r="AZ72" s="601"/>
    </row>
    <row r="73" spans="1:52" s="233" customFormat="1" ht="33.6" customHeight="1" x14ac:dyDescent="0.25">
      <c r="A73" s="266" t="s">
        <v>268</v>
      </c>
      <c r="B73" s="571" t="s">
        <v>302</v>
      </c>
      <c r="C73" s="571"/>
      <c r="D73" s="571"/>
      <c r="E73" s="571"/>
      <c r="F73" s="571"/>
      <c r="G73" s="571"/>
      <c r="H73" s="571"/>
      <c r="I73" s="571"/>
      <c r="J73" s="571"/>
      <c r="K73" s="571"/>
      <c r="L73" s="571"/>
      <c r="M73" s="571"/>
      <c r="N73" s="571"/>
      <c r="O73" s="571"/>
      <c r="P73" s="571"/>
      <c r="Q73" s="571"/>
      <c r="R73" s="571"/>
      <c r="S73" s="571"/>
      <c r="T73" s="571"/>
      <c r="U73" s="571"/>
      <c r="V73" s="571"/>
      <c r="W73" s="571"/>
      <c r="X73" s="571"/>
      <c r="Y73" s="571"/>
      <c r="Z73" s="571"/>
      <c r="AA73" s="571"/>
      <c r="AB73" s="571"/>
      <c r="AC73" s="571"/>
      <c r="AD73" s="571"/>
      <c r="AE73" s="571"/>
      <c r="AF73" s="571"/>
      <c r="AG73" s="571"/>
      <c r="AH73" s="571"/>
      <c r="AI73" s="571"/>
      <c r="AJ73" s="571"/>
      <c r="AK73" s="571"/>
      <c r="AL73" s="571"/>
      <c r="AM73" s="571"/>
      <c r="AN73" s="571"/>
      <c r="AO73" s="571"/>
      <c r="AP73" s="571"/>
      <c r="AQ73" s="571"/>
      <c r="AR73" s="571"/>
      <c r="AS73" s="571"/>
      <c r="AT73" s="571"/>
      <c r="AU73" s="571"/>
      <c r="AV73" s="571"/>
      <c r="AW73" s="571"/>
      <c r="AX73" s="571"/>
      <c r="AY73" s="571"/>
      <c r="AZ73" s="571"/>
    </row>
    <row r="74" spans="1:52" s="233" customFormat="1" ht="33.6" customHeight="1" x14ac:dyDescent="0.25">
      <c r="A74" s="266" t="s">
        <v>269</v>
      </c>
      <c r="B74" s="571" t="s">
        <v>285</v>
      </c>
      <c r="C74" s="571"/>
      <c r="D74" s="571"/>
      <c r="E74" s="571"/>
      <c r="F74" s="571"/>
      <c r="G74" s="571"/>
      <c r="H74" s="571"/>
      <c r="I74" s="571"/>
      <c r="J74" s="571"/>
      <c r="K74" s="571"/>
      <c r="L74" s="571"/>
      <c r="M74" s="571"/>
      <c r="N74" s="571"/>
      <c r="O74" s="571"/>
      <c r="P74" s="571"/>
      <c r="Q74" s="571"/>
      <c r="R74" s="571"/>
      <c r="S74" s="571"/>
      <c r="T74" s="571"/>
      <c r="U74" s="571"/>
      <c r="V74" s="571"/>
      <c r="W74" s="571"/>
      <c r="X74" s="571"/>
      <c r="Y74" s="571"/>
      <c r="Z74" s="571"/>
      <c r="AA74" s="571"/>
      <c r="AB74" s="571"/>
      <c r="AC74" s="571"/>
      <c r="AD74" s="571"/>
      <c r="AE74" s="571"/>
      <c r="AF74" s="571"/>
      <c r="AG74" s="571"/>
      <c r="AH74" s="571"/>
      <c r="AI74" s="571"/>
      <c r="AJ74" s="571"/>
      <c r="AK74" s="571"/>
      <c r="AL74" s="571"/>
      <c r="AM74" s="571"/>
      <c r="AN74" s="571"/>
      <c r="AP74" s="566" t="s">
        <v>10</v>
      </c>
      <c r="AQ74" s="566"/>
      <c r="AR74" s="566"/>
      <c r="AS74" s="566"/>
      <c r="AT74" s="566"/>
      <c r="AU74" s="566"/>
      <c r="AV74" s="593" t="s">
        <v>1223</v>
      </c>
      <c r="AW74" s="593"/>
      <c r="AX74" s="593"/>
      <c r="AY74" s="593"/>
      <c r="AZ74" s="594"/>
    </row>
    <row r="76" spans="1:52" s="58" customFormat="1" ht="20.25" customHeight="1" x14ac:dyDescent="0.4">
      <c r="A76" s="2" t="s">
        <v>268</v>
      </c>
      <c r="B76" s="10" t="s">
        <v>215</v>
      </c>
      <c r="C76" s="11"/>
      <c r="D76" s="61"/>
      <c r="E76" s="61"/>
      <c r="F76" s="61"/>
      <c r="G76" s="61"/>
      <c r="H76" s="61"/>
      <c r="I76" s="61"/>
      <c r="J76" s="61"/>
      <c r="K76" s="61"/>
      <c r="L76" s="61"/>
      <c r="M76" s="61"/>
      <c r="N76" s="61"/>
      <c r="O76" s="61"/>
      <c r="P76" s="61"/>
      <c r="Q76" s="61"/>
      <c r="R76" s="61"/>
      <c r="S76" s="61"/>
      <c r="T76" s="59"/>
      <c r="U76" s="59"/>
      <c r="V76" s="59"/>
      <c r="W76" s="59"/>
      <c r="X76" s="59"/>
      <c r="Y76" s="59"/>
      <c r="Z76" s="59"/>
      <c r="AA76" s="59"/>
      <c r="AB76" s="59"/>
      <c r="AC76" s="59"/>
      <c r="AD76" s="59"/>
      <c r="AE76" s="59"/>
      <c r="AF76" s="59"/>
      <c r="AG76" s="59"/>
      <c r="AH76" s="59"/>
      <c r="AI76" s="59"/>
      <c r="AJ76" s="59"/>
      <c r="AK76" s="59"/>
      <c r="AL76" s="59"/>
      <c r="AM76" s="59"/>
      <c r="AN76" s="59"/>
      <c r="AO76" s="59"/>
      <c r="AP76" s="59"/>
      <c r="AQ76" s="59"/>
      <c r="AR76" s="59"/>
      <c r="AS76" s="59"/>
      <c r="AT76" s="59"/>
      <c r="AU76" s="62"/>
      <c r="AV76" s="59"/>
      <c r="AW76" s="59"/>
      <c r="AX76" s="59"/>
    </row>
    <row r="77" spans="1:52" s="58" customFormat="1" ht="7.95" customHeight="1" x14ac:dyDescent="0.3">
      <c r="A77" s="2"/>
      <c r="B77" s="60"/>
      <c r="C77" s="11"/>
      <c r="D77" s="61"/>
      <c r="E77" s="61"/>
      <c r="F77" s="61"/>
      <c r="G77" s="61"/>
      <c r="H77" s="61"/>
      <c r="I77" s="61"/>
      <c r="J77" s="61"/>
      <c r="K77" s="61"/>
      <c r="L77" s="61"/>
      <c r="M77" s="61"/>
      <c r="N77" s="61"/>
      <c r="O77" s="61"/>
      <c r="P77" s="61"/>
      <c r="Q77" s="61"/>
      <c r="R77" s="61"/>
      <c r="S77" s="61"/>
      <c r="T77" s="59"/>
      <c r="U77" s="59"/>
      <c r="V77" s="59"/>
      <c r="W77" s="59"/>
      <c r="X77" s="59"/>
      <c r="Y77" s="59"/>
      <c r="Z77" s="59"/>
      <c r="AA77" s="59"/>
      <c r="AB77" s="59"/>
      <c r="AC77" s="59"/>
      <c r="AD77" s="59"/>
      <c r="AE77" s="59"/>
      <c r="AF77" s="59"/>
      <c r="AG77" s="59"/>
      <c r="AH77" s="59"/>
      <c r="AI77" s="59"/>
      <c r="AJ77" s="59"/>
      <c r="AK77" s="59"/>
      <c r="AL77" s="59"/>
      <c r="AM77" s="59"/>
      <c r="AN77" s="59"/>
      <c r="AO77" s="59"/>
      <c r="AP77" s="59"/>
      <c r="AQ77" s="59"/>
      <c r="AR77" s="59"/>
      <c r="AS77" s="59"/>
      <c r="AT77" s="59"/>
      <c r="AU77" s="62"/>
      <c r="AV77" s="59"/>
      <c r="AW77" s="59"/>
      <c r="AX77" s="59"/>
    </row>
    <row r="78" spans="1:52" s="58" customFormat="1" ht="20.25" customHeight="1" x14ac:dyDescent="0.3">
      <c r="A78" s="2" t="s">
        <v>269</v>
      </c>
      <c r="B78" s="6"/>
      <c r="C78" s="1"/>
      <c r="D78" s="9" t="s">
        <v>856</v>
      </c>
      <c r="E78" s="61"/>
      <c r="F78" s="61"/>
      <c r="G78" s="61"/>
      <c r="H78" s="61"/>
      <c r="I78" s="61"/>
      <c r="J78" s="61"/>
      <c r="K78" s="61"/>
      <c r="L78" s="61"/>
      <c r="M78" s="61"/>
      <c r="N78" s="61"/>
      <c r="O78" s="61"/>
      <c r="P78" s="61"/>
      <c r="Q78" s="61"/>
      <c r="R78" s="61"/>
      <c r="S78" s="61"/>
      <c r="T78" s="59"/>
      <c r="U78" s="59"/>
      <c r="V78" s="59"/>
      <c r="W78" s="59"/>
      <c r="X78" s="59"/>
      <c r="Y78" s="59"/>
      <c r="Z78" s="59"/>
      <c r="AA78" s="59"/>
      <c r="AB78" s="59"/>
      <c r="AC78" s="59"/>
      <c r="AD78" s="59"/>
      <c r="AE78" s="59"/>
      <c r="AF78" s="59"/>
      <c r="AG78" s="59"/>
      <c r="AH78" s="59"/>
      <c r="AI78" s="59"/>
      <c r="AJ78" s="59"/>
      <c r="AK78" s="59"/>
      <c r="AL78" s="59"/>
      <c r="AM78" s="59"/>
      <c r="AN78" s="59"/>
      <c r="AO78" s="59"/>
      <c r="AP78" s="59"/>
      <c r="AQ78" s="59"/>
      <c r="AR78" s="59"/>
      <c r="AS78" s="59"/>
      <c r="AT78" s="59"/>
      <c r="AU78" s="62"/>
      <c r="AV78" s="59"/>
      <c r="AW78" s="59"/>
      <c r="AX78" s="59"/>
    </row>
    <row r="79" spans="1:52" s="58" customFormat="1" ht="7.95" customHeight="1" x14ac:dyDescent="0.3">
      <c r="A79" s="2"/>
      <c r="B79" s="60"/>
      <c r="C79" s="11"/>
      <c r="D79" s="61"/>
      <c r="E79" s="61"/>
      <c r="F79" s="61"/>
      <c r="G79" s="61"/>
      <c r="H79" s="61"/>
      <c r="I79" s="61"/>
      <c r="J79" s="61"/>
      <c r="K79" s="61"/>
      <c r="L79" s="61"/>
      <c r="M79" s="61"/>
      <c r="N79" s="61"/>
      <c r="O79" s="61"/>
      <c r="P79" s="61"/>
      <c r="Q79" s="61"/>
      <c r="R79" s="61"/>
      <c r="S79" s="61"/>
      <c r="T79" s="59"/>
      <c r="U79" s="59"/>
      <c r="V79" s="59"/>
      <c r="W79" s="59"/>
      <c r="X79" s="59"/>
      <c r="Y79" s="59"/>
      <c r="Z79" s="59"/>
      <c r="AA79" s="59"/>
      <c r="AB79" s="59"/>
      <c r="AC79" s="59"/>
      <c r="AD79" s="59"/>
      <c r="AE79" s="59"/>
      <c r="AF79" s="59"/>
      <c r="AG79" s="59"/>
      <c r="AH79" s="59"/>
      <c r="AI79" s="59"/>
      <c r="AJ79" s="59"/>
      <c r="AK79" s="59"/>
      <c r="AL79" s="59"/>
      <c r="AM79" s="59"/>
      <c r="AN79" s="59"/>
      <c r="AO79" s="59"/>
      <c r="AP79" s="59"/>
      <c r="AQ79" s="59"/>
      <c r="AR79" s="59"/>
      <c r="AS79" s="59"/>
      <c r="AT79" s="59"/>
      <c r="AU79" s="62"/>
      <c r="AV79" s="59"/>
      <c r="AW79" s="59"/>
      <c r="AX79" s="59"/>
    </row>
    <row r="80" spans="1:52" s="58" customFormat="1" ht="20.25" customHeight="1" x14ac:dyDescent="0.3">
      <c r="A80" s="2" t="s">
        <v>270</v>
      </c>
      <c r="B80" s="6"/>
      <c r="C80" s="11"/>
      <c r="D80" s="9" t="s">
        <v>216</v>
      </c>
      <c r="E80" s="61"/>
      <c r="F80" s="61"/>
      <c r="G80" s="61"/>
      <c r="H80" s="61"/>
      <c r="I80" s="61"/>
      <c r="J80" s="61"/>
      <c r="K80" s="61"/>
      <c r="L80" s="61"/>
      <c r="M80" s="61"/>
      <c r="N80" s="61"/>
      <c r="O80" s="61"/>
      <c r="P80" s="61"/>
      <c r="Q80" s="61"/>
      <c r="R80" s="61"/>
      <c r="S80" s="61"/>
      <c r="T80" s="59"/>
      <c r="U80" s="59"/>
      <c r="V80" s="59"/>
      <c r="W80" s="59"/>
      <c r="X80" s="59"/>
      <c r="Y80" s="59"/>
      <c r="Z80" s="59"/>
      <c r="AA80" s="59"/>
      <c r="AB80" s="59"/>
      <c r="AC80" s="59"/>
      <c r="AD80" s="59"/>
      <c r="AE80" s="59"/>
      <c r="AF80" s="59"/>
      <c r="AG80" s="59"/>
      <c r="AH80" s="59"/>
      <c r="AI80" s="59"/>
      <c r="AJ80" s="59"/>
      <c r="AK80" s="59"/>
      <c r="AL80" s="59"/>
      <c r="AM80" s="59"/>
      <c r="AN80" s="59"/>
      <c r="AO80" s="59"/>
      <c r="AP80" s="59"/>
      <c r="AQ80" s="59"/>
      <c r="AR80" s="59"/>
      <c r="AS80" s="59"/>
      <c r="AT80" s="59"/>
      <c r="AU80" s="62"/>
      <c r="AV80" s="59"/>
      <c r="AW80" s="59"/>
      <c r="AX80" s="59"/>
    </row>
    <row r="81" spans="1:147" s="58" customFormat="1" ht="7.95" customHeight="1" x14ac:dyDescent="0.3">
      <c r="A81" s="2"/>
      <c r="B81" s="60"/>
      <c r="C81" s="11"/>
      <c r="D81" s="61"/>
      <c r="E81" s="61"/>
      <c r="F81" s="61"/>
      <c r="G81" s="61"/>
      <c r="H81" s="61"/>
      <c r="I81" s="61"/>
      <c r="J81" s="61"/>
      <c r="K81" s="61"/>
      <c r="L81" s="61"/>
      <c r="M81" s="61"/>
      <c r="N81" s="61"/>
      <c r="O81" s="61"/>
      <c r="P81" s="61"/>
      <c r="Q81" s="61"/>
      <c r="R81" s="61"/>
      <c r="S81" s="61"/>
      <c r="T81" s="59"/>
      <c r="U81" s="59"/>
      <c r="V81" s="59"/>
      <c r="W81" s="59"/>
      <c r="X81" s="59"/>
      <c r="Y81" s="59"/>
      <c r="Z81" s="59"/>
      <c r="AA81" s="59"/>
      <c r="AB81" s="59"/>
      <c r="AC81" s="59"/>
      <c r="AD81" s="59"/>
      <c r="AE81" s="59"/>
      <c r="AF81" s="59"/>
      <c r="AG81" s="59"/>
      <c r="AH81" s="59"/>
      <c r="AI81" s="59"/>
      <c r="AJ81" s="59"/>
      <c r="AK81" s="59"/>
      <c r="AL81" s="59"/>
      <c r="AM81" s="59"/>
      <c r="AN81" s="59"/>
      <c r="AO81" s="59"/>
      <c r="AP81" s="59"/>
      <c r="AQ81" s="59"/>
      <c r="AR81" s="59"/>
      <c r="AS81" s="59"/>
      <c r="AT81" s="59"/>
      <c r="AU81" s="62"/>
      <c r="AV81" s="59"/>
      <c r="AW81" s="59"/>
      <c r="AX81" s="59"/>
    </row>
    <row r="82" spans="1:147" s="58" customFormat="1" ht="20.25" customHeight="1" x14ac:dyDescent="0.3">
      <c r="A82" s="2" t="s">
        <v>271</v>
      </c>
      <c r="B82" s="6"/>
      <c r="C82" s="11"/>
      <c r="D82" s="9" t="s">
        <v>233</v>
      </c>
      <c r="E82" s="61"/>
      <c r="F82" s="61"/>
      <c r="G82" s="61"/>
      <c r="H82" s="61"/>
      <c r="I82" s="61"/>
      <c r="J82" s="61"/>
      <c r="K82" s="61"/>
      <c r="L82" s="61"/>
      <c r="M82" s="61"/>
      <c r="N82" s="61"/>
      <c r="O82" s="61"/>
      <c r="P82" s="61"/>
      <c r="Q82" s="61"/>
      <c r="R82" s="61"/>
      <c r="S82" s="61"/>
      <c r="T82" s="59"/>
      <c r="U82" s="59"/>
      <c r="V82" s="59"/>
      <c r="W82" s="59"/>
      <c r="X82" s="59"/>
      <c r="Y82" s="59"/>
      <c r="Z82" s="59"/>
      <c r="AA82" s="59"/>
      <c r="AB82" s="59"/>
      <c r="AC82" s="59"/>
      <c r="AD82" s="59"/>
      <c r="AE82" s="59"/>
      <c r="AF82" s="59"/>
      <c r="AG82" s="59"/>
      <c r="AH82" s="68"/>
      <c r="AI82" s="68"/>
      <c r="AJ82" s="68"/>
      <c r="AK82" s="68"/>
      <c r="AL82" s="696"/>
      <c r="AM82" s="696"/>
      <c r="AN82" s="696"/>
      <c r="AO82" s="696"/>
      <c r="AP82" s="696"/>
      <c r="AQ82" s="696"/>
      <c r="AR82" s="696"/>
      <c r="AS82" s="696"/>
      <c r="AT82" s="696"/>
      <c r="AU82" s="696"/>
      <c r="AV82" s="206"/>
      <c r="AW82" s="206"/>
      <c r="AX82" s="206"/>
      <c r="AY82" s="206"/>
      <c r="AZ82" s="206"/>
      <c r="BA82" s="268"/>
      <c r="BB82" s="268"/>
      <c r="BC82" s="269"/>
      <c r="BD82" s="269"/>
      <c r="BE82" s="269"/>
      <c r="BF82" s="269"/>
      <c r="BG82" s="269"/>
      <c r="BH82" s="269"/>
      <c r="BI82" s="269"/>
      <c r="BJ82" s="269"/>
      <c r="BK82" s="269"/>
      <c r="BL82" s="269"/>
      <c r="BM82" s="269"/>
      <c r="BN82" s="269"/>
      <c r="BO82" s="269"/>
      <c r="BP82" s="269"/>
      <c r="BQ82" s="269"/>
      <c r="BR82" s="269"/>
      <c r="BS82" s="269"/>
      <c r="BT82" s="269"/>
      <c r="BU82" s="269"/>
      <c r="BV82" s="269"/>
      <c r="BW82" s="269"/>
      <c r="BX82" s="269"/>
      <c r="BY82" s="269"/>
      <c r="BZ82" s="269"/>
      <c r="CA82" s="269"/>
      <c r="CB82" s="269"/>
      <c r="CC82" s="269"/>
      <c r="CD82" s="269"/>
      <c r="CE82" s="269"/>
      <c r="CF82" s="269"/>
      <c r="CG82" s="269"/>
      <c r="CH82" s="269"/>
      <c r="CI82" s="269"/>
      <c r="CJ82" s="269"/>
      <c r="CK82" s="269"/>
      <c r="CL82" s="269"/>
      <c r="CM82" s="269"/>
      <c r="CN82" s="269"/>
      <c r="CO82" s="269"/>
      <c r="CP82" s="269"/>
      <c r="CQ82" s="269"/>
      <c r="CR82" s="269"/>
      <c r="CS82" s="269"/>
      <c r="CT82" s="269"/>
      <c r="CU82" s="269"/>
      <c r="CV82" s="269"/>
      <c r="CW82" s="269"/>
      <c r="CX82" s="269"/>
      <c r="CY82" s="269"/>
      <c r="CZ82" s="269"/>
      <c r="DA82" s="269"/>
      <c r="DB82" s="269"/>
      <c r="DC82" s="269"/>
      <c r="DD82" s="269"/>
      <c r="DE82" s="269"/>
      <c r="DF82" s="269"/>
      <c r="DG82" s="269"/>
      <c r="DH82" s="269"/>
      <c r="DI82" s="269"/>
      <c r="DJ82" s="269"/>
      <c r="DK82" s="269"/>
      <c r="DL82" s="269"/>
      <c r="DM82" s="269"/>
      <c r="DN82" s="269"/>
      <c r="DO82" s="269"/>
      <c r="DP82" s="269"/>
      <c r="DQ82" s="269"/>
      <c r="DR82" s="269"/>
      <c r="DS82" s="269"/>
      <c r="DT82" s="269"/>
      <c r="DU82" s="269"/>
      <c r="DV82" s="269"/>
      <c r="DW82" s="269"/>
      <c r="DX82" s="269"/>
      <c r="DY82" s="269"/>
      <c r="DZ82" s="269"/>
      <c r="EA82" s="269"/>
      <c r="EB82" s="269"/>
      <c r="EC82" s="269"/>
      <c r="ED82" s="269"/>
      <c r="EE82" s="269"/>
      <c r="EF82" s="269"/>
      <c r="EG82" s="269"/>
      <c r="EH82" s="269"/>
      <c r="EI82" s="269"/>
      <c r="EJ82" s="269"/>
      <c r="EK82" s="269"/>
      <c r="EL82" s="269"/>
      <c r="EM82" s="269"/>
      <c r="EN82" s="269"/>
      <c r="EO82" s="269"/>
      <c r="EP82" s="269"/>
      <c r="EQ82" s="269"/>
    </row>
    <row r="83" spans="1:147" s="58" customFormat="1" ht="20.25" customHeight="1" x14ac:dyDescent="0.3">
      <c r="A83" s="2"/>
      <c r="B83" s="60"/>
      <c r="C83" s="11"/>
      <c r="D83" s="61"/>
      <c r="E83" s="61"/>
      <c r="F83" s="61"/>
      <c r="G83" s="61"/>
      <c r="H83" s="61"/>
      <c r="I83" s="61"/>
      <c r="J83" s="61"/>
      <c r="K83" s="61"/>
      <c r="L83" s="61"/>
      <c r="M83" s="61"/>
      <c r="N83" s="61"/>
      <c r="O83" s="61"/>
      <c r="P83" s="61"/>
      <c r="Q83" s="61"/>
      <c r="R83" s="61"/>
      <c r="S83" s="61"/>
      <c r="T83" s="59"/>
      <c r="U83" s="59"/>
      <c r="V83" s="59"/>
      <c r="W83" s="59"/>
      <c r="X83" s="59"/>
      <c r="Y83" s="59"/>
      <c r="Z83" s="59"/>
      <c r="AA83" s="59"/>
      <c r="AB83" s="59"/>
      <c r="AC83" s="59"/>
      <c r="AD83" s="59"/>
      <c r="AE83" s="59"/>
      <c r="AF83" s="59"/>
      <c r="AG83" s="59"/>
      <c r="AH83" s="59"/>
      <c r="AI83" s="59"/>
      <c r="AJ83" s="59"/>
      <c r="AK83" s="59"/>
      <c r="AL83" s="59"/>
      <c r="AM83" s="59"/>
      <c r="AN83" s="59"/>
      <c r="AO83" s="59"/>
      <c r="AP83" s="59"/>
      <c r="AQ83" s="59"/>
      <c r="AR83" s="59"/>
      <c r="AS83" s="59"/>
      <c r="AT83" s="59"/>
      <c r="AU83" s="62"/>
      <c r="AV83" s="59"/>
      <c r="AW83" s="59"/>
      <c r="AX83" s="59"/>
    </row>
    <row r="84" spans="1:147" s="58" customFormat="1" ht="91.95" customHeight="1" x14ac:dyDescent="0.3">
      <c r="A84" s="2" t="s">
        <v>279</v>
      </c>
      <c r="B84" s="693" t="s">
        <v>210</v>
      </c>
      <c r="C84" s="693"/>
      <c r="D84" s="693"/>
      <c r="E84" s="693"/>
      <c r="F84" s="693"/>
      <c r="G84" s="693"/>
      <c r="H84" s="693"/>
      <c r="I84" s="693"/>
      <c r="J84" s="694" t="s">
        <v>214</v>
      </c>
      <c r="K84" s="694"/>
      <c r="L84" s="694"/>
      <c r="M84" s="694"/>
      <c r="N84" s="694"/>
      <c r="O84" s="694"/>
      <c r="P84" s="694"/>
      <c r="Q84" s="694"/>
      <c r="R84" s="694"/>
      <c r="S84" s="694"/>
      <c r="T84" s="694"/>
      <c r="U84" s="694"/>
      <c r="V84" s="694"/>
      <c r="W84" s="694"/>
      <c r="X84" s="694"/>
      <c r="Y84" s="694"/>
      <c r="Z84" s="694"/>
      <c r="AA84" s="694"/>
      <c r="AB84" s="694"/>
      <c r="AC84" s="694"/>
      <c r="AD84" s="694"/>
      <c r="AE84" s="694"/>
      <c r="AF84" s="694"/>
      <c r="AG84" s="694"/>
      <c r="AH84" s="694"/>
      <c r="AI84" s="694"/>
      <c r="AJ84" s="694"/>
      <c r="AK84" s="694"/>
      <c r="AL84" s="694"/>
      <c r="AM84" s="694"/>
      <c r="AN84" s="694"/>
      <c r="AO84" s="694"/>
      <c r="AP84" s="694"/>
      <c r="AQ84" s="694"/>
      <c r="AR84" s="694"/>
      <c r="AS84" s="694"/>
      <c r="AT84" s="694"/>
      <c r="AU84" s="694"/>
      <c r="AV84" s="694"/>
      <c r="AW84" s="694"/>
      <c r="AX84" s="694"/>
      <c r="AY84" s="694"/>
      <c r="AZ84" s="694"/>
      <c r="BA84" s="270"/>
      <c r="BB84" s="271"/>
      <c r="BC84" s="271"/>
      <c r="BD84" s="271"/>
      <c r="BE84" s="271"/>
      <c r="BF84" s="271"/>
      <c r="BG84" s="271"/>
      <c r="BH84" s="271"/>
      <c r="BI84" s="271"/>
      <c r="BJ84" s="271"/>
      <c r="BK84" s="271"/>
      <c r="BL84" s="271"/>
      <c r="BM84" s="271"/>
      <c r="BN84" s="271"/>
      <c r="BO84" s="271"/>
      <c r="BP84" s="271"/>
      <c r="BQ84" s="271"/>
      <c r="BR84" s="271"/>
      <c r="BS84" s="271"/>
      <c r="BT84" s="271"/>
      <c r="BU84" s="271"/>
      <c r="BV84" s="271"/>
      <c r="BW84" s="271"/>
      <c r="BX84" s="271"/>
      <c r="BY84" s="271"/>
      <c r="BZ84" s="271"/>
      <c r="CA84" s="271"/>
      <c r="CB84" s="271"/>
      <c r="CC84" s="271"/>
      <c r="CD84" s="271"/>
      <c r="CE84" s="271"/>
      <c r="CF84" s="271"/>
      <c r="CG84" s="271"/>
      <c r="CH84" s="271"/>
      <c r="CI84" s="271"/>
      <c r="CJ84" s="271"/>
      <c r="CK84" s="271"/>
      <c r="CL84" s="271"/>
      <c r="CM84" s="271"/>
      <c r="CN84" s="271"/>
      <c r="CO84" s="271"/>
      <c r="CP84" s="271"/>
      <c r="CQ84" s="271"/>
      <c r="CR84" s="271"/>
      <c r="CS84" s="271"/>
      <c r="CT84" s="271"/>
      <c r="CU84" s="271"/>
      <c r="CV84" s="271"/>
      <c r="CW84" s="271"/>
      <c r="CX84" s="271"/>
      <c r="CY84" s="271"/>
      <c r="CZ84" s="271"/>
      <c r="DA84" s="271"/>
      <c r="DB84" s="271"/>
      <c r="DC84" s="271"/>
      <c r="DD84" s="271"/>
      <c r="DE84" s="271"/>
      <c r="DF84" s="271"/>
      <c r="DG84" s="271"/>
      <c r="DH84" s="271"/>
      <c r="DI84" s="271"/>
      <c r="DJ84" s="271"/>
      <c r="DK84" s="271"/>
      <c r="DL84" s="271"/>
      <c r="DM84" s="271"/>
      <c r="DN84" s="271"/>
      <c r="DO84" s="271"/>
      <c r="DP84" s="271"/>
      <c r="DQ84" s="271"/>
      <c r="DR84" s="271"/>
      <c r="DS84" s="271"/>
      <c r="DT84" s="271"/>
      <c r="DU84" s="271"/>
      <c r="DV84" s="271"/>
      <c r="DW84" s="271"/>
      <c r="DX84" s="271"/>
      <c r="DY84" s="271"/>
      <c r="DZ84" s="271"/>
      <c r="EA84" s="271"/>
      <c r="EB84" s="271"/>
      <c r="EC84" s="271"/>
      <c r="ED84" s="271"/>
      <c r="EE84" s="271"/>
      <c r="EF84" s="271"/>
      <c r="EG84" s="271"/>
      <c r="EH84" s="271"/>
      <c r="EI84" s="271"/>
      <c r="EJ84" s="271"/>
      <c r="EK84" s="271"/>
      <c r="EL84" s="271"/>
      <c r="EM84" s="271"/>
      <c r="EN84" s="271"/>
      <c r="EO84" s="271"/>
      <c r="EP84" s="271"/>
      <c r="EQ84" s="271"/>
    </row>
    <row r="85" spans="1:147" s="58" customFormat="1" ht="20.25" customHeight="1" x14ac:dyDescent="0.3">
      <c r="A85" s="2"/>
      <c r="B85" s="60"/>
      <c r="C85" s="11"/>
      <c r="D85" s="61"/>
      <c r="E85" s="61"/>
      <c r="F85" s="61"/>
      <c r="G85" s="61"/>
      <c r="H85" s="61"/>
      <c r="I85" s="61"/>
      <c r="J85" s="61"/>
      <c r="K85" s="61"/>
      <c r="L85" s="61"/>
      <c r="M85" s="61"/>
      <c r="N85" s="61"/>
      <c r="O85" s="61"/>
      <c r="P85" s="61"/>
      <c r="Q85" s="61"/>
      <c r="R85" s="61"/>
      <c r="S85" s="61"/>
      <c r="T85" s="59"/>
      <c r="U85" s="59"/>
      <c r="V85" s="59"/>
      <c r="W85" s="59"/>
      <c r="X85" s="59"/>
      <c r="Y85" s="59"/>
      <c r="Z85" s="59"/>
      <c r="AA85" s="59"/>
      <c r="AB85" s="59"/>
      <c r="AC85" s="59"/>
      <c r="AD85" s="59"/>
      <c r="AE85" s="59"/>
      <c r="AF85" s="59"/>
      <c r="AG85" s="59"/>
      <c r="AH85" s="59"/>
      <c r="AI85" s="59"/>
      <c r="AJ85" s="59"/>
      <c r="AK85" s="59"/>
      <c r="AL85" s="59"/>
      <c r="AM85" s="59"/>
      <c r="AN85" s="59"/>
      <c r="AO85" s="59"/>
      <c r="AP85" s="59"/>
      <c r="AQ85" s="59"/>
      <c r="AR85" s="59"/>
      <c r="AS85" s="59"/>
      <c r="AT85" s="59"/>
      <c r="AU85" s="62"/>
      <c r="AV85" s="59"/>
      <c r="AW85" s="59"/>
      <c r="AX85" s="59"/>
    </row>
    <row r="86" spans="1:147" s="1" customFormat="1" ht="20.25" customHeight="1" x14ac:dyDescent="0.3">
      <c r="A86" s="2" t="s">
        <v>280</v>
      </c>
      <c r="B86" s="60"/>
      <c r="C86" s="11"/>
      <c r="D86" s="9" t="s">
        <v>213</v>
      </c>
      <c r="E86" s="61"/>
      <c r="F86" s="61"/>
      <c r="G86" s="61"/>
      <c r="H86" s="61"/>
      <c r="I86" s="61"/>
      <c r="J86" s="61"/>
      <c r="K86" s="61"/>
      <c r="L86" s="61"/>
      <c r="M86" s="61"/>
      <c r="N86" s="61"/>
      <c r="O86" s="61"/>
      <c r="P86" s="61"/>
      <c r="Q86" s="61"/>
      <c r="R86" s="61"/>
      <c r="S86" s="61"/>
      <c r="T86" s="243"/>
      <c r="U86" s="243"/>
      <c r="V86" s="243"/>
      <c r="W86" s="243"/>
      <c r="X86" s="243"/>
      <c r="Y86" s="243"/>
      <c r="Z86" s="243"/>
      <c r="AA86" s="243"/>
      <c r="AB86" s="243"/>
      <c r="AC86" s="243"/>
      <c r="AD86" s="243"/>
      <c r="AE86" s="243"/>
      <c r="AF86" s="243"/>
      <c r="AG86" s="243"/>
      <c r="AH86" s="243"/>
      <c r="AI86" s="243"/>
      <c r="AJ86" s="243"/>
      <c r="AK86" s="243"/>
      <c r="AL86" s="243"/>
      <c r="AM86" s="243"/>
      <c r="AN86" s="243"/>
      <c r="AO86" s="243"/>
      <c r="AP86" s="243"/>
      <c r="AQ86" s="243"/>
      <c r="AR86" s="243"/>
      <c r="AS86" s="243"/>
      <c r="AT86" s="243"/>
      <c r="AU86" s="117"/>
      <c r="AV86" s="243"/>
      <c r="AW86" s="243"/>
      <c r="AX86" s="243"/>
    </row>
    <row r="87" spans="1:147" s="58" customFormat="1" ht="20.25" customHeight="1" x14ac:dyDescent="0.3">
      <c r="A87" s="56"/>
      <c r="B87" s="60"/>
      <c r="C87" s="11"/>
      <c r="D87" s="61"/>
      <c r="E87" s="61"/>
      <c r="F87" s="61"/>
      <c r="G87" s="61"/>
      <c r="H87" s="61"/>
      <c r="I87" s="61"/>
      <c r="J87" s="61"/>
      <c r="K87" s="61"/>
      <c r="L87" s="61"/>
      <c r="M87" s="61"/>
      <c r="N87" s="61"/>
      <c r="O87" s="61"/>
      <c r="P87" s="61"/>
      <c r="Q87" s="61"/>
      <c r="R87" s="61"/>
      <c r="S87" s="61"/>
      <c r="T87" s="59"/>
      <c r="U87" s="59"/>
      <c r="V87" s="59"/>
      <c r="W87" s="59"/>
      <c r="X87" s="59"/>
      <c r="Y87" s="59"/>
      <c r="Z87" s="59"/>
      <c r="AA87" s="59"/>
      <c r="AB87" s="59"/>
      <c r="AC87" s="59"/>
      <c r="AD87" s="59"/>
      <c r="AE87" s="59"/>
      <c r="AF87" s="59"/>
      <c r="AG87" s="59"/>
      <c r="AH87" s="59"/>
      <c r="AI87" s="59"/>
      <c r="AJ87" s="59"/>
      <c r="AK87" s="59"/>
      <c r="AL87" s="59"/>
      <c r="AM87" s="59"/>
      <c r="AN87" s="59"/>
      <c r="AO87" s="59"/>
      <c r="AP87" s="59"/>
      <c r="AQ87" s="59"/>
      <c r="AR87" s="59"/>
      <c r="AS87" s="59"/>
      <c r="AT87" s="59"/>
      <c r="AU87" s="62"/>
      <c r="AV87" s="59"/>
      <c r="AW87" s="59"/>
      <c r="AX87" s="59"/>
      <c r="BB87" s="205"/>
      <c r="BC87" s="205"/>
      <c r="BD87" s="205"/>
      <c r="BE87" s="205"/>
      <c r="BF87" s="205"/>
      <c r="BG87" s="205"/>
      <c r="BH87" s="205"/>
      <c r="BI87" s="205"/>
      <c r="BJ87" s="205"/>
      <c r="BK87" s="205"/>
      <c r="BL87" s="205"/>
      <c r="BM87" s="205"/>
      <c r="BN87" s="205"/>
      <c r="BO87" s="205"/>
      <c r="BP87" s="205"/>
      <c r="BQ87" s="205"/>
      <c r="BR87" s="205"/>
      <c r="BS87" s="205"/>
      <c r="BT87" s="205"/>
      <c r="BU87" s="205"/>
      <c r="BV87" s="205"/>
      <c r="BW87" s="205"/>
      <c r="BX87" s="205"/>
      <c r="BY87" s="205"/>
      <c r="BZ87" s="205"/>
      <c r="CA87" s="205"/>
      <c r="CB87" s="205"/>
      <c r="CC87" s="205"/>
      <c r="CD87" s="205"/>
      <c r="CE87" s="205"/>
      <c r="CF87" s="205"/>
      <c r="CG87" s="205"/>
      <c r="CH87" s="205"/>
      <c r="CI87" s="205"/>
      <c r="CJ87" s="205"/>
      <c r="CK87" s="205"/>
      <c r="CL87" s="205"/>
      <c r="CM87" s="205"/>
      <c r="CN87" s="205"/>
      <c r="CO87" s="205"/>
      <c r="CP87" s="205"/>
      <c r="CQ87" s="205"/>
      <c r="CR87" s="205"/>
      <c r="CS87" s="205"/>
      <c r="CT87" s="205"/>
      <c r="CU87" s="205"/>
      <c r="CV87" s="205"/>
      <c r="CW87" s="205"/>
      <c r="CX87" s="205"/>
      <c r="CY87" s="205"/>
      <c r="CZ87" s="205"/>
      <c r="DA87" s="205"/>
      <c r="DB87" s="205"/>
      <c r="DC87" s="205"/>
      <c r="DD87" s="205"/>
      <c r="DE87" s="205"/>
      <c r="DF87" s="205"/>
      <c r="DG87" s="205"/>
      <c r="DH87" s="205"/>
      <c r="DI87" s="205"/>
      <c r="DJ87" s="205"/>
      <c r="DK87" s="205"/>
      <c r="DL87" s="205"/>
      <c r="DM87" s="205"/>
      <c r="DN87" s="205"/>
      <c r="DO87" s="205"/>
      <c r="DP87" s="205"/>
      <c r="DQ87" s="205"/>
      <c r="DR87" s="205"/>
      <c r="DS87" s="205"/>
      <c r="DT87" s="205"/>
      <c r="DU87" s="205"/>
      <c r="DV87" s="205"/>
      <c r="DW87" s="205"/>
      <c r="DX87" s="205"/>
      <c r="DY87" s="205"/>
      <c r="DZ87" s="205"/>
      <c r="EA87" s="205"/>
      <c r="EB87" s="205"/>
      <c r="EC87" s="205"/>
      <c r="ED87" s="205"/>
      <c r="EE87" s="205"/>
      <c r="EF87" s="205"/>
      <c r="EG87" s="205"/>
      <c r="EH87" s="205"/>
      <c r="EI87" s="205"/>
      <c r="EJ87" s="205"/>
      <c r="EK87" s="205"/>
      <c r="EL87" s="205"/>
      <c r="EM87" s="205"/>
      <c r="EN87" s="205"/>
      <c r="EO87" s="205"/>
      <c r="EP87" s="205"/>
      <c r="EQ87" s="205"/>
    </row>
    <row r="88" spans="1:147" s="58" customFormat="1" ht="24.6" x14ac:dyDescent="0.3">
      <c r="A88" s="56"/>
      <c r="B88" s="691" t="s">
        <v>211</v>
      </c>
      <c r="C88" s="691"/>
      <c r="D88" s="691"/>
      <c r="E88" s="691"/>
      <c r="F88" s="691"/>
      <c r="G88" s="691"/>
      <c r="H88" s="691"/>
      <c r="I88" s="691"/>
      <c r="J88" s="691"/>
      <c r="K88" s="691"/>
      <c r="L88" s="691"/>
      <c r="M88" s="691"/>
      <c r="N88" s="691"/>
      <c r="O88" s="691"/>
      <c r="P88" s="691"/>
      <c r="Q88" s="691"/>
      <c r="R88" s="691"/>
      <c r="S88" s="691"/>
      <c r="T88" s="691"/>
      <c r="U88" s="691"/>
      <c r="V88" s="691"/>
      <c r="W88" s="691"/>
      <c r="X88" s="691"/>
      <c r="Y88" s="691" t="s">
        <v>212</v>
      </c>
      <c r="Z88" s="691"/>
      <c r="AA88" s="691"/>
      <c r="AB88" s="691"/>
      <c r="AC88" s="691"/>
      <c r="AD88" s="691"/>
      <c r="AE88" s="691"/>
      <c r="AF88" s="691"/>
      <c r="AG88" s="691"/>
      <c r="AH88" s="691"/>
      <c r="AI88" s="691"/>
      <c r="AJ88" s="691"/>
      <c r="AK88" s="691"/>
      <c r="AL88" s="691"/>
      <c r="AM88" s="691"/>
      <c r="AN88" s="698" t="s">
        <v>443</v>
      </c>
      <c r="AO88" s="698"/>
      <c r="AP88" s="698"/>
      <c r="AQ88" s="698"/>
      <c r="AR88" s="698"/>
      <c r="AS88" s="698"/>
      <c r="AT88" s="698"/>
      <c r="AU88" s="698"/>
      <c r="AV88" s="698"/>
      <c r="AW88" s="698"/>
      <c r="AX88" s="698"/>
      <c r="AY88" s="698"/>
      <c r="AZ88" s="698"/>
      <c r="BA88" s="237"/>
      <c r="BB88" s="272"/>
      <c r="BC88" s="272"/>
      <c r="BD88" s="272"/>
      <c r="BE88" s="272"/>
      <c r="BF88" s="272"/>
      <c r="BG88" s="272"/>
      <c r="BH88" s="272"/>
      <c r="BI88" s="272"/>
      <c r="BJ88" s="272"/>
      <c r="BK88" s="272"/>
      <c r="BL88" s="272"/>
      <c r="BM88" s="272"/>
      <c r="BN88" s="272"/>
      <c r="BO88" s="272"/>
      <c r="BP88" s="272"/>
      <c r="BQ88" s="272"/>
      <c r="BR88" s="272"/>
      <c r="BS88" s="272"/>
      <c r="BT88" s="272"/>
      <c r="BU88" s="272"/>
      <c r="BV88" s="272"/>
      <c r="BW88" s="272"/>
      <c r="BX88" s="272"/>
      <c r="BY88" s="272"/>
      <c r="BZ88" s="272"/>
      <c r="CA88" s="272"/>
      <c r="CB88" s="272"/>
      <c r="CC88" s="272"/>
      <c r="CD88" s="272"/>
      <c r="CE88" s="272"/>
      <c r="CF88" s="272"/>
      <c r="CG88" s="272"/>
      <c r="CH88" s="272"/>
      <c r="CI88" s="272"/>
      <c r="CJ88" s="272"/>
      <c r="CK88" s="272"/>
      <c r="CL88" s="272"/>
      <c r="CM88" s="272"/>
      <c r="CN88" s="272"/>
      <c r="CO88" s="272"/>
      <c r="CP88" s="272"/>
      <c r="CQ88" s="272"/>
      <c r="CR88" s="272"/>
      <c r="CS88" s="272"/>
      <c r="CT88" s="272"/>
      <c r="CU88" s="272"/>
      <c r="CV88" s="272"/>
      <c r="CW88" s="272"/>
      <c r="CX88" s="272"/>
      <c r="CY88" s="272"/>
      <c r="CZ88" s="272"/>
      <c r="DA88" s="272"/>
      <c r="DB88" s="272"/>
      <c r="DC88" s="272"/>
      <c r="DD88" s="272"/>
      <c r="DE88" s="272"/>
      <c r="DF88" s="272"/>
      <c r="DG88" s="272"/>
      <c r="DH88" s="272"/>
      <c r="DI88" s="272"/>
      <c r="DJ88" s="272"/>
      <c r="DK88" s="272"/>
      <c r="DL88" s="272"/>
      <c r="DM88" s="272"/>
      <c r="DN88" s="272"/>
      <c r="DO88" s="272"/>
      <c r="DP88" s="272"/>
      <c r="DQ88" s="272"/>
      <c r="DR88" s="272"/>
      <c r="DS88" s="272"/>
      <c r="DT88" s="272"/>
      <c r="DU88" s="272"/>
      <c r="DV88" s="272"/>
      <c r="DW88" s="272"/>
      <c r="DX88" s="272"/>
      <c r="DY88" s="272"/>
      <c r="DZ88" s="272"/>
      <c r="EA88" s="272"/>
      <c r="EB88" s="272"/>
      <c r="EC88" s="272"/>
      <c r="ED88" s="272"/>
      <c r="EE88" s="272"/>
      <c r="EF88" s="272"/>
      <c r="EG88" s="272"/>
      <c r="EH88" s="272"/>
      <c r="EI88" s="272"/>
      <c r="EJ88" s="272"/>
      <c r="EK88" s="272"/>
      <c r="EL88" s="272"/>
      <c r="EM88" s="272"/>
      <c r="EN88" s="272"/>
      <c r="EO88" s="272"/>
      <c r="EP88" s="272"/>
      <c r="EQ88" s="272"/>
    </row>
    <row r="89" spans="1:147" s="58" customFormat="1" ht="35.4" customHeight="1" x14ac:dyDescent="0.3">
      <c r="A89" s="56"/>
      <c r="B89" s="690"/>
      <c r="C89" s="690"/>
      <c r="D89" s="690"/>
      <c r="E89" s="690"/>
      <c r="F89" s="690"/>
      <c r="G89" s="690"/>
      <c r="H89" s="690"/>
      <c r="I89" s="690"/>
      <c r="J89" s="690"/>
      <c r="K89" s="690"/>
      <c r="L89" s="690"/>
      <c r="M89" s="690"/>
      <c r="N89" s="690"/>
      <c r="O89" s="690"/>
      <c r="P89" s="690"/>
      <c r="Q89" s="690"/>
      <c r="R89" s="690"/>
      <c r="S89" s="690"/>
      <c r="T89" s="690"/>
      <c r="U89" s="690"/>
      <c r="V89" s="690"/>
      <c r="W89" s="690"/>
      <c r="X89" s="690"/>
      <c r="Y89" s="690"/>
      <c r="Z89" s="690"/>
      <c r="AA89" s="690"/>
      <c r="AB89" s="690"/>
      <c r="AC89" s="690"/>
      <c r="AD89" s="690"/>
      <c r="AE89" s="690"/>
      <c r="AF89" s="690"/>
      <c r="AG89" s="690"/>
      <c r="AH89" s="690"/>
      <c r="AI89" s="690"/>
      <c r="AJ89" s="690"/>
      <c r="AK89" s="690"/>
      <c r="AL89" s="690"/>
      <c r="AM89" s="690"/>
      <c r="AN89" s="697"/>
      <c r="AO89" s="697"/>
      <c r="AP89" s="697"/>
      <c r="AQ89" s="697"/>
      <c r="AR89" s="697"/>
      <c r="AS89" s="697"/>
      <c r="AT89" s="697"/>
      <c r="AU89" s="697"/>
      <c r="AV89" s="697"/>
      <c r="AW89" s="697"/>
      <c r="AX89" s="697"/>
      <c r="AY89" s="697"/>
      <c r="AZ89" s="697"/>
      <c r="BA89" s="205"/>
      <c r="BB89" s="272"/>
      <c r="BC89" s="272"/>
      <c r="BD89" s="272"/>
      <c r="BE89" s="272"/>
      <c r="BF89" s="272"/>
      <c r="BG89" s="272"/>
      <c r="BH89" s="272"/>
      <c r="BI89" s="272"/>
      <c r="BJ89" s="272"/>
      <c r="BK89" s="272"/>
      <c r="BL89" s="272"/>
      <c r="BM89" s="272"/>
      <c r="BN89" s="272"/>
      <c r="BO89" s="272"/>
      <c r="BP89" s="272"/>
      <c r="BQ89" s="272"/>
      <c r="BR89" s="272"/>
      <c r="BS89" s="272"/>
      <c r="BT89" s="272"/>
      <c r="BU89" s="272"/>
      <c r="BV89" s="272"/>
      <c r="BW89" s="272"/>
      <c r="BX89" s="272"/>
      <c r="BY89" s="272"/>
      <c r="BZ89" s="272"/>
      <c r="CA89" s="272"/>
      <c r="CB89" s="272"/>
      <c r="CC89" s="272"/>
      <c r="CD89" s="272"/>
      <c r="CE89" s="272"/>
      <c r="CF89" s="272"/>
      <c r="CG89" s="272"/>
      <c r="CH89" s="272"/>
      <c r="CI89" s="272"/>
      <c r="CJ89" s="272"/>
      <c r="CK89" s="272"/>
      <c r="CL89" s="272"/>
      <c r="CM89" s="272"/>
      <c r="CN89" s="272"/>
      <c r="CO89" s="272"/>
      <c r="CP89" s="272"/>
      <c r="CQ89" s="272"/>
      <c r="CR89" s="272"/>
      <c r="CS89" s="272"/>
      <c r="CT89" s="272"/>
      <c r="CU89" s="272"/>
      <c r="CV89" s="272"/>
      <c r="CW89" s="272"/>
      <c r="CX89" s="272"/>
      <c r="CY89" s="272"/>
      <c r="CZ89" s="272"/>
      <c r="DA89" s="272"/>
      <c r="DB89" s="272"/>
      <c r="DC89" s="272"/>
      <c r="DD89" s="272"/>
      <c r="DE89" s="272"/>
      <c r="DF89" s="272"/>
      <c r="DG89" s="272"/>
      <c r="DH89" s="272"/>
      <c r="DI89" s="272"/>
      <c r="DJ89" s="272"/>
      <c r="DK89" s="272"/>
      <c r="DL89" s="272"/>
      <c r="DM89" s="272"/>
      <c r="DN89" s="272"/>
      <c r="DO89" s="272"/>
      <c r="DP89" s="272"/>
      <c r="DQ89" s="272"/>
      <c r="DR89" s="272"/>
      <c r="DS89" s="272"/>
      <c r="DT89" s="272"/>
      <c r="DU89" s="272"/>
      <c r="DV89" s="272"/>
      <c r="DW89" s="272"/>
      <c r="DX89" s="272"/>
      <c r="DY89" s="272"/>
      <c r="DZ89" s="272"/>
      <c r="EA89" s="272"/>
      <c r="EB89" s="272"/>
      <c r="EC89" s="272"/>
      <c r="ED89" s="272"/>
      <c r="EE89" s="272"/>
      <c r="EF89" s="272"/>
      <c r="EG89" s="272"/>
      <c r="EH89" s="272"/>
      <c r="EI89" s="272"/>
      <c r="EJ89" s="272"/>
      <c r="EK89" s="272"/>
      <c r="EL89" s="272"/>
      <c r="EM89" s="272"/>
      <c r="EN89" s="272"/>
      <c r="EO89" s="272"/>
      <c r="EP89" s="272"/>
      <c r="EQ89" s="272"/>
    </row>
    <row r="90" spans="1:147" s="58" customFormat="1" ht="35.4" customHeight="1" x14ac:dyDescent="0.3">
      <c r="A90" s="56"/>
      <c r="B90" s="690"/>
      <c r="C90" s="690"/>
      <c r="D90" s="690"/>
      <c r="E90" s="690"/>
      <c r="F90" s="690"/>
      <c r="G90" s="690"/>
      <c r="H90" s="690"/>
      <c r="I90" s="690"/>
      <c r="J90" s="690"/>
      <c r="K90" s="690"/>
      <c r="L90" s="690"/>
      <c r="M90" s="690"/>
      <c r="N90" s="690"/>
      <c r="O90" s="690"/>
      <c r="P90" s="690"/>
      <c r="Q90" s="690"/>
      <c r="R90" s="690"/>
      <c r="S90" s="690"/>
      <c r="T90" s="690"/>
      <c r="U90" s="690"/>
      <c r="V90" s="690"/>
      <c r="W90" s="690"/>
      <c r="X90" s="690"/>
      <c r="Y90" s="690"/>
      <c r="Z90" s="690"/>
      <c r="AA90" s="690"/>
      <c r="AB90" s="690"/>
      <c r="AC90" s="690"/>
      <c r="AD90" s="690"/>
      <c r="AE90" s="690"/>
      <c r="AF90" s="690"/>
      <c r="AG90" s="690"/>
      <c r="AH90" s="690"/>
      <c r="AI90" s="690"/>
      <c r="AJ90" s="690"/>
      <c r="AK90" s="690"/>
      <c r="AL90" s="690"/>
      <c r="AM90" s="690"/>
      <c r="AN90" s="697"/>
      <c r="AO90" s="697"/>
      <c r="AP90" s="697"/>
      <c r="AQ90" s="697"/>
      <c r="AR90" s="697"/>
      <c r="AS90" s="697"/>
      <c r="AT90" s="697"/>
      <c r="AU90" s="697"/>
      <c r="AV90" s="697"/>
      <c r="AW90" s="697"/>
      <c r="AX90" s="697"/>
      <c r="AY90" s="697"/>
      <c r="AZ90" s="697"/>
      <c r="BA90" s="205"/>
      <c r="BB90" s="272"/>
      <c r="BC90" s="272"/>
      <c r="BD90" s="272"/>
      <c r="BE90" s="272"/>
      <c r="BF90" s="272"/>
      <c r="BG90" s="272"/>
      <c r="BH90" s="272"/>
      <c r="BI90" s="272"/>
      <c r="BJ90" s="272"/>
      <c r="BK90" s="272"/>
      <c r="BL90" s="272"/>
      <c r="BM90" s="272"/>
      <c r="BN90" s="272"/>
      <c r="BO90" s="272"/>
      <c r="BP90" s="272"/>
      <c r="BQ90" s="272"/>
      <c r="BR90" s="272"/>
      <c r="BS90" s="272"/>
      <c r="BT90" s="272"/>
      <c r="BU90" s="272"/>
      <c r="BV90" s="272"/>
      <c r="BW90" s="272"/>
      <c r="BX90" s="272"/>
      <c r="BY90" s="272"/>
      <c r="BZ90" s="272"/>
      <c r="CA90" s="272"/>
      <c r="CB90" s="272"/>
      <c r="CC90" s="272"/>
      <c r="CD90" s="272"/>
      <c r="CE90" s="272"/>
      <c r="CF90" s="272"/>
      <c r="CG90" s="272"/>
      <c r="CH90" s="272"/>
      <c r="CI90" s="272"/>
      <c r="CJ90" s="272"/>
      <c r="CK90" s="272"/>
      <c r="CL90" s="272"/>
      <c r="CM90" s="272"/>
      <c r="CN90" s="272"/>
      <c r="CO90" s="272"/>
      <c r="CP90" s="272"/>
      <c r="CQ90" s="272"/>
      <c r="CR90" s="272"/>
      <c r="CS90" s="272"/>
      <c r="CT90" s="272"/>
      <c r="CU90" s="272"/>
      <c r="CV90" s="272"/>
      <c r="CW90" s="272"/>
      <c r="CX90" s="272"/>
      <c r="CY90" s="272"/>
      <c r="CZ90" s="272"/>
      <c r="DA90" s="272"/>
      <c r="DB90" s="272"/>
      <c r="DC90" s="272"/>
      <c r="DD90" s="272"/>
      <c r="DE90" s="272"/>
      <c r="DF90" s="272"/>
      <c r="DG90" s="272"/>
      <c r="DH90" s="272"/>
      <c r="DI90" s="272"/>
      <c r="DJ90" s="272"/>
      <c r="DK90" s="272"/>
      <c r="DL90" s="272"/>
      <c r="DM90" s="272"/>
      <c r="DN90" s="272"/>
      <c r="DO90" s="272"/>
      <c r="DP90" s="272"/>
      <c r="DQ90" s="272"/>
      <c r="DR90" s="272"/>
      <c r="DS90" s="272"/>
      <c r="DT90" s="272"/>
      <c r="DU90" s="272"/>
      <c r="DV90" s="272"/>
      <c r="DW90" s="272"/>
      <c r="DX90" s="272"/>
      <c r="DY90" s="272"/>
      <c r="DZ90" s="272"/>
      <c r="EA90" s="272"/>
      <c r="EB90" s="272"/>
      <c r="EC90" s="272"/>
      <c r="ED90" s="272"/>
      <c r="EE90" s="272"/>
      <c r="EF90" s="272"/>
      <c r="EG90" s="272"/>
      <c r="EH90" s="272"/>
      <c r="EI90" s="272"/>
      <c r="EJ90" s="272"/>
      <c r="EK90" s="272"/>
      <c r="EL90" s="272"/>
      <c r="EM90" s="272"/>
      <c r="EN90" s="272"/>
      <c r="EO90" s="272"/>
      <c r="EP90" s="272"/>
      <c r="EQ90" s="272"/>
    </row>
    <row r="91" spans="1:147" s="58" customFormat="1" ht="35.4" customHeight="1" x14ac:dyDescent="0.3">
      <c r="A91" s="56"/>
      <c r="B91" s="690"/>
      <c r="C91" s="690"/>
      <c r="D91" s="690"/>
      <c r="E91" s="690"/>
      <c r="F91" s="690"/>
      <c r="G91" s="690"/>
      <c r="H91" s="690"/>
      <c r="I91" s="690"/>
      <c r="J91" s="690"/>
      <c r="K91" s="690"/>
      <c r="L91" s="690"/>
      <c r="M91" s="690"/>
      <c r="N91" s="690"/>
      <c r="O91" s="690"/>
      <c r="P91" s="690"/>
      <c r="Q91" s="690"/>
      <c r="R91" s="690"/>
      <c r="S91" s="690"/>
      <c r="T91" s="690"/>
      <c r="U91" s="690"/>
      <c r="V91" s="690"/>
      <c r="W91" s="690"/>
      <c r="X91" s="690"/>
      <c r="Y91" s="690"/>
      <c r="Z91" s="690"/>
      <c r="AA91" s="690"/>
      <c r="AB91" s="690"/>
      <c r="AC91" s="690"/>
      <c r="AD91" s="690"/>
      <c r="AE91" s="690"/>
      <c r="AF91" s="690"/>
      <c r="AG91" s="690"/>
      <c r="AH91" s="690"/>
      <c r="AI91" s="690"/>
      <c r="AJ91" s="690"/>
      <c r="AK91" s="690"/>
      <c r="AL91" s="690"/>
      <c r="AM91" s="690"/>
      <c r="AN91" s="697"/>
      <c r="AO91" s="697"/>
      <c r="AP91" s="697"/>
      <c r="AQ91" s="697"/>
      <c r="AR91" s="697"/>
      <c r="AS91" s="697"/>
      <c r="AT91" s="697"/>
      <c r="AU91" s="697"/>
      <c r="AV91" s="697"/>
      <c r="AW91" s="697"/>
      <c r="AX91" s="697"/>
      <c r="AY91" s="697"/>
      <c r="AZ91" s="697"/>
      <c r="BA91" s="205"/>
      <c r="BB91" s="272"/>
      <c r="BC91" s="272"/>
      <c r="BD91" s="272"/>
      <c r="BE91" s="272"/>
      <c r="BF91" s="272"/>
      <c r="BG91" s="272"/>
      <c r="BH91" s="272"/>
      <c r="BI91" s="272"/>
      <c r="BJ91" s="272"/>
      <c r="BK91" s="272"/>
      <c r="BL91" s="272"/>
      <c r="BM91" s="272"/>
      <c r="BN91" s="272"/>
      <c r="BO91" s="272"/>
      <c r="BP91" s="272"/>
      <c r="BQ91" s="272"/>
      <c r="BR91" s="272"/>
      <c r="BS91" s="272"/>
      <c r="BT91" s="272"/>
      <c r="BU91" s="272"/>
      <c r="BV91" s="272"/>
      <c r="BW91" s="272"/>
      <c r="BX91" s="272"/>
      <c r="BY91" s="272"/>
      <c r="BZ91" s="272"/>
      <c r="CA91" s="272"/>
      <c r="CB91" s="272"/>
      <c r="CC91" s="272"/>
      <c r="CD91" s="272"/>
      <c r="CE91" s="272"/>
      <c r="CF91" s="272"/>
      <c r="CG91" s="272"/>
      <c r="CH91" s="272"/>
      <c r="CI91" s="272"/>
      <c r="CJ91" s="272"/>
      <c r="CK91" s="272"/>
      <c r="CL91" s="272"/>
      <c r="CM91" s="272"/>
      <c r="CN91" s="272"/>
      <c r="CO91" s="272"/>
      <c r="CP91" s="272"/>
      <c r="CQ91" s="272"/>
      <c r="CR91" s="272"/>
      <c r="CS91" s="272"/>
      <c r="CT91" s="272"/>
      <c r="CU91" s="272"/>
      <c r="CV91" s="272"/>
      <c r="CW91" s="272"/>
      <c r="CX91" s="272"/>
      <c r="CY91" s="272"/>
      <c r="CZ91" s="272"/>
      <c r="DA91" s="272"/>
      <c r="DB91" s="272"/>
      <c r="DC91" s="272"/>
      <c r="DD91" s="272"/>
      <c r="DE91" s="272"/>
      <c r="DF91" s="272"/>
      <c r="DG91" s="272"/>
      <c r="DH91" s="272"/>
      <c r="DI91" s="272"/>
      <c r="DJ91" s="272"/>
      <c r="DK91" s="272"/>
      <c r="DL91" s="272"/>
      <c r="DM91" s="272"/>
      <c r="DN91" s="272"/>
      <c r="DO91" s="272"/>
      <c r="DP91" s="272"/>
      <c r="DQ91" s="272"/>
      <c r="DR91" s="272"/>
      <c r="DS91" s="272"/>
      <c r="DT91" s="272"/>
      <c r="DU91" s="272"/>
      <c r="DV91" s="272"/>
      <c r="DW91" s="272"/>
      <c r="DX91" s="272"/>
      <c r="DY91" s="272"/>
      <c r="DZ91" s="272"/>
      <c r="EA91" s="272"/>
      <c r="EB91" s="272"/>
      <c r="EC91" s="272"/>
      <c r="ED91" s="272"/>
      <c r="EE91" s="272"/>
      <c r="EF91" s="272"/>
      <c r="EG91" s="272"/>
      <c r="EH91" s="272"/>
      <c r="EI91" s="272"/>
      <c r="EJ91" s="272"/>
      <c r="EK91" s="272"/>
      <c r="EL91" s="272"/>
      <c r="EM91" s="272"/>
      <c r="EN91" s="272"/>
      <c r="EO91" s="272"/>
      <c r="EP91" s="272"/>
      <c r="EQ91" s="272"/>
    </row>
    <row r="92" spans="1:147" s="67" customFormat="1" ht="35.4" customHeight="1" x14ac:dyDescent="0.3">
      <c r="A92" s="63"/>
      <c r="B92" s="690"/>
      <c r="C92" s="690"/>
      <c r="D92" s="690"/>
      <c r="E92" s="690"/>
      <c r="F92" s="690"/>
      <c r="G92" s="690"/>
      <c r="H92" s="690"/>
      <c r="I92" s="690"/>
      <c r="J92" s="690"/>
      <c r="K92" s="690"/>
      <c r="L92" s="690"/>
      <c r="M92" s="690"/>
      <c r="N92" s="690"/>
      <c r="O92" s="690"/>
      <c r="P92" s="690"/>
      <c r="Q92" s="690"/>
      <c r="R92" s="690"/>
      <c r="S92" s="690"/>
      <c r="T92" s="690"/>
      <c r="U92" s="690"/>
      <c r="V92" s="690"/>
      <c r="W92" s="690"/>
      <c r="X92" s="690"/>
      <c r="Y92" s="690"/>
      <c r="Z92" s="690"/>
      <c r="AA92" s="690"/>
      <c r="AB92" s="690"/>
      <c r="AC92" s="690"/>
      <c r="AD92" s="690"/>
      <c r="AE92" s="690"/>
      <c r="AF92" s="690"/>
      <c r="AG92" s="690"/>
      <c r="AH92" s="690"/>
      <c r="AI92" s="690"/>
      <c r="AJ92" s="690"/>
      <c r="AK92" s="690"/>
      <c r="AL92" s="690"/>
      <c r="AM92" s="690"/>
      <c r="AN92" s="697"/>
      <c r="AO92" s="697"/>
      <c r="AP92" s="697"/>
      <c r="AQ92" s="697"/>
      <c r="AR92" s="697"/>
      <c r="AS92" s="697"/>
      <c r="AT92" s="697"/>
      <c r="AU92" s="697"/>
      <c r="AV92" s="697"/>
      <c r="AW92" s="697"/>
      <c r="AX92" s="697"/>
      <c r="AY92" s="697"/>
      <c r="AZ92" s="697"/>
      <c r="BA92" s="205"/>
      <c r="BB92" s="272"/>
      <c r="BC92" s="272"/>
      <c r="BD92" s="272"/>
      <c r="BE92" s="272"/>
      <c r="BF92" s="272"/>
      <c r="BG92" s="272"/>
      <c r="BH92" s="272"/>
      <c r="BI92" s="272"/>
      <c r="BJ92" s="272"/>
      <c r="BK92" s="272"/>
      <c r="BL92" s="272"/>
      <c r="BM92" s="272"/>
      <c r="BN92" s="272"/>
      <c r="BO92" s="272"/>
      <c r="BP92" s="272"/>
      <c r="BQ92" s="272"/>
      <c r="BR92" s="272"/>
      <c r="BS92" s="272"/>
      <c r="BT92" s="272"/>
      <c r="BU92" s="272"/>
      <c r="BV92" s="272"/>
      <c r="BW92" s="272"/>
      <c r="BX92" s="272"/>
      <c r="BY92" s="272"/>
      <c r="BZ92" s="272"/>
      <c r="CA92" s="272"/>
      <c r="CB92" s="272"/>
      <c r="CC92" s="272"/>
      <c r="CD92" s="272"/>
      <c r="CE92" s="272"/>
      <c r="CF92" s="272"/>
      <c r="CG92" s="272"/>
      <c r="CH92" s="272"/>
      <c r="CI92" s="272"/>
      <c r="CJ92" s="272"/>
      <c r="CK92" s="272"/>
      <c r="CL92" s="272"/>
      <c r="CM92" s="272"/>
      <c r="CN92" s="272"/>
      <c r="CO92" s="272"/>
      <c r="CP92" s="272"/>
      <c r="CQ92" s="272"/>
      <c r="CR92" s="272"/>
      <c r="CS92" s="272"/>
      <c r="CT92" s="272"/>
      <c r="CU92" s="272"/>
      <c r="CV92" s="272"/>
      <c r="CW92" s="272"/>
      <c r="CX92" s="272"/>
      <c r="CY92" s="272"/>
      <c r="CZ92" s="272"/>
      <c r="DA92" s="272"/>
      <c r="DB92" s="272"/>
      <c r="DC92" s="272"/>
      <c r="DD92" s="272"/>
      <c r="DE92" s="272"/>
      <c r="DF92" s="272"/>
      <c r="DG92" s="272"/>
      <c r="DH92" s="272"/>
      <c r="DI92" s="272"/>
      <c r="DJ92" s="272"/>
      <c r="DK92" s="272"/>
      <c r="DL92" s="272"/>
      <c r="DM92" s="272"/>
      <c r="DN92" s="272"/>
      <c r="DO92" s="272"/>
      <c r="DP92" s="272"/>
      <c r="DQ92" s="272"/>
      <c r="DR92" s="272"/>
      <c r="DS92" s="272"/>
      <c r="DT92" s="272"/>
      <c r="DU92" s="272"/>
      <c r="DV92" s="272"/>
      <c r="DW92" s="272"/>
      <c r="DX92" s="272"/>
      <c r="DY92" s="272"/>
      <c r="DZ92" s="272"/>
      <c r="EA92" s="272"/>
      <c r="EB92" s="272"/>
      <c r="EC92" s="272"/>
      <c r="ED92" s="272"/>
      <c r="EE92" s="272"/>
      <c r="EF92" s="272"/>
      <c r="EG92" s="272"/>
      <c r="EH92" s="272"/>
      <c r="EI92" s="272"/>
      <c r="EJ92" s="272"/>
      <c r="EK92" s="272"/>
      <c r="EL92" s="272"/>
      <c r="EM92" s="272"/>
      <c r="EN92" s="272"/>
      <c r="EO92" s="272"/>
      <c r="EP92" s="272"/>
      <c r="EQ92" s="272"/>
    </row>
    <row r="93" spans="1:147" s="67" customFormat="1" ht="35.4" customHeight="1" x14ac:dyDescent="0.3">
      <c r="A93" s="63"/>
      <c r="B93" s="690"/>
      <c r="C93" s="690"/>
      <c r="D93" s="690"/>
      <c r="E93" s="690"/>
      <c r="F93" s="690"/>
      <c r="G93" s="690"/>
      <c r="H93" s="690"/>
      <c r="I93" s="690"/>
      <c r="J93" s="690"/>
      <c r="K93" s="690"/>
      <c r="L93" s="690"/>
      <c r="M93" s="690"/>
      <c r="N93" s="690"/>
      <c r="O93" s="690"/>
      <c r="P93" s="690"/>
      <c r="Q93" s="690"/>
      <c r="R93" s="690"/>
      <c r="S93" s="690"/>
      <c r="T93" s="690"/>
      <c r="U93" s="690"/>
      <c r="V93" s="690"/>
      <c r="W93" s="690"/>
      <c r="X93" s="690"/>
      <c r="Y93" s="690"/>
      <c r="Z93" s="690"/>
      <c r="AA93" s="690"/>
      <c r="AB93" s="690"/>
      <c r="AC93" s="690"/>
      <c r="AD93" s="690"/>
      <c r="AE93" s="690"/>
      <c r="AF93" s="690"/>
      <c r="AG93" s="690"/>
      <c r="AH93" s="690"/>
      <c r="AI93" s="690"/>
      <c r="AJ93" s="690"/>
      <c r="AK93" s="690"/>
      <c r="AL93" s="690"/>
      <c r="AM93" s="690"/>
      <c r="AN93" s="697"/>
      <c r="AO93" s="697"/>
      <c r="AP93" s="697"/>
      <c r="AQ93" s="697"/>
      <c r="AR93" s="697"/>
      <c r="AS93" s="697"/>
      <c r="AT93" s="697"/>
      <c r="AU93" s="697"/>
      <c r="AV93" s="697"/>
      <c r="AW93" s="697"/>
      <c r="AX93" s="697"/>
      <c r="AY93" s="697"/>
      <c r="AZ93" s="697"/>
      <c r="BA93" s="205"/>
    </row>
    <row r="94" spans="1:147" s="67" customFormat="1" ht="20.25" customHeight="1" x14ac:dyDescent="0.3">
      <c r="A94" s="63"/>
      <c r="B94" s="64"/>
      <c r="C94" s="26"/>
      <c r="D94" s="61"/>
      <c r="E94" s="61"/>
      <c r="F94" s="61"/>
      <c r="G94" s="61"/>
      <c r="H94" s="61"/>
      <c r="I94" s="61"/>
      <c r="J94" s="61"/>
      <c r="K94" s="61"/>
      <c r="L94" s="61"/>
      <c r="M94" s="61"/>
      <c r="N94" s="61"/>
      <c r="O94" s="61"/>
      <c r="P94" s="61"/>
      <c r="Q94" s="61"/>
      <c r="R94" s="61"/>
      <c r="S94" s="61"/>
      <c r="T94" s="65"/>
      <c r="U94" s="65"/>
      <c r="V94" s="65"/>
      <c r="W94" s="65"/>
      <c r="X94" s="65"/>
      <c r="Y94" s="65"/>
      <c r="Z94" s="65"/>
      <c r="AA94" s="65"/>
      <c r="AB94" s="65"/>
      <c r="AC94" s="65"/>
      <c r="AD94" s="65"/>
      <c r="AE94" s="65"/>
      <c r="AF94" s="65"/>
      <c r="AG94" s="65"/>
      <c r="AH94" s="65"/>
      <c r="AI94" s="65"/>
      <c r="AJ94" s="65"/>
      <c r="AK94" s="65"/>
      <c r="AL94" s="65"/>
      <c r="AM94" s="65"/>
      <c r="AN94" s="65"/>
      <c r="AO94" s="65"/>
      <c r="AP94" s="65"/>
      <c r="AQ94" s="65"/>
      <c r="AR94" s="65"/>
      <c r="AS94" s="65"/>
      <c r="AT94" s="65"/>
      <c r="AU94" s="66"/>
      <c r="AV94" s="65"/>
      <c r="AW94" s="65"/>
      <c r="AX94" s="65"/>
      <c r="BA94" s="58"/>
    </row>
    <row r="95" spans="1:147" s="36" customFormat="1" ht="27" customHeight="1" x14ac:dyDescent="0.25">
      <c r="A95" s="240" t="s">
        <v>281</v>
      </c>
      <c r="B95" s="238" t="s">
        <v>857</v>
      </c>
      <c r="E95" s="239"/>
      <c r="F95" s="239"/>
      <c r="G95" s="239"/>
      <c r="H95" s="239"/>
      <c r="I95" s="239"/>
      <c r="J95" s="239"/>
      <c r="K95" s="239"/>
      <c r="L95" s="239"/>
      <c r="M95" s="239"/>
      <c r="N95" s="239"/>
      <c r="O95" s="239"/>
      <c r="P95" s="239"/>
      <c r="Q95" s="239"/>
      <c r="R95" s="239"/>
      <c r="S95" s="239"/>
      <c r="T95" s="241"/>
      <c r="U95" s="241"/>
      <c r="V95" s="241"/>
      <c r="W95" s="241"/>
      <c r="X95" s="241"/>
      <c r="Y95" s="241"/>
      <c r="Z95" s="241"/>
      <c r="AA95" s="241"/>
      <c r="AB95" s="241"/>
      <c r="AC95" s="241"/>
      <c r="AD95" s="241"/>
      <c r="AE95" s="241"/>
      <c r="AF95" s="241"/>
      <c r="AG95" s="241"/>
      <c r="AH95" s="241"/>
      <c r="AI95" s="241"/>
      <c r="AJ95" s="241"/>
      <c r="AK95" s="241"/>
      <c r="AL95" s="241"/>
      <c r="AM95" s="241"/>
      <c r="AN95" s="241"/>
      <c r="AO95" s="241"/>
      <c r="AP95" s="241"/>
      <c r="AQ95" s="241"/>
      <c r="AR95" s="241"/>
      <c r="AS95" s="241"/>
      <c r="AT95" s="241"/>
      <c r="AU95" s="242"/>
      <c r="AV95" s="241"/>
      <c r="AW95" s="241"/>
      <c r="AX95" s="241"/>
      <c r="BA95" s="35"/>
    </row>
    <row r="118" spans="5:26" s="41" customFormat="1" ht="24.6" x14ac:dyDescent="0.4">
      <c r="E118" s="557" t="s">
        <v>162</v>
      </c>
      <c r="F118" s="558"/>
      <c r="G118" s="558"/>
      <c r="H118" s="558"/>
      <c r="I118" s="558"/>
      <c r="J118" s="558"/>
      <c r="K118" s="558"/>
      <c r="L118" s="558"/>
      <c r="M118" s="558"/>
      <c r="N118" s="558"/>
      <c r="O118" s="558"/>
      <c r="P118" s="558"/>
      <c r="Q118" s="558"/>
      <c r="R118" s="558"/>
      <c r="S118" s="558"/>
      <c r="T118" s="558"/>
      <c r="U118" s="558"/>
      <c r="V118" s="558"/>
      <c r="W118" s="558"/>
      <c r="X118" s="558"/>
      <c r="Y118" s="558"/>
      <c r="Z118" s="558"/>
    </row>
    <row r="119" spans="5:26" s="41" customFormat="1" ht="24.6" x14ac:dyDescent="0.4">
      <c r="E119" s="557" t="s">
        <v>306</v>
      </c>
      <c r="F119" s="558"/>
      <c r="G119" s="558"/>
      <c r="H119" s="558"/>
      <c r="I119" s="558"/>
      <c r="J119" s="558"/>
      <c r="K119" s="558"/>
      <c r="L119" s="558"/>
      <c r="M119" s="558"/>
      <c r="N119" s="558"/>
      <c r="O119" s="558"/>
      <c r="P119" s="558"/>
      <c r="Q119" s="558"/>
      <c r="R119" s="558"/>
      <c r="S119" s="558"/>
      <c r="T119" s="558"/>
      <c r="U119" s="558"/>
      <c r="V119" s="558"/>
      <c r="W119" s="558"/>
      <c r="X119" s="558"/>
      <c r="Y119" s="558"/>
      <c r="Z119" s="558"/>
    </row>
    <row r="120" spans="5:26" s="41" customFormat="1" ht="24.6" x14ac:dyDescent="0.4">
      <c r="E120" s="557" t="s">
        <v>300</v>
      </c>
      <c r="F120" s="558"/>
      <c r="G120" s="558"/>
      <c r="H120" s="558"/>
      <c r="I120" s="558"/>
      <c r="J120" s="558"/>
      <c r="K120" s="558"/>
      <c r="L120" s="558"/>
      <c r="M120" s="558"/>
      <c r="N120" s="558"/>
      <c r="O120" s="558"/>
      <c r="P120" s="558"/>
      <c r="Q120" s="558"/>
      <c r="R120" s="558"/>
      <c r="S120" s="558"/>
      <c r="T120" s="558"/>
      <c r="U120" s="558"/>
      <c r="V120" s="558"/>
      <c r="W120" s="558"/>
      <c r="X120" s="558"/>
      <c r="Y120" s="558"/>
      <c r="Z120" s="558"/>
    </row>
    <row r="121" spans="5:26" s="41" customFormat="1" ht="24.6" x14ac:dyDescent="0.4">
      <c r="E121" s="557" t="s">
        <v>309</v>
      </c>
      <c r="F121" s="558"/>
      <c r="G121" s="558"/>
      <c r="H121" s="558"/>
      <c r="I121" s="558"/>
      <c r="J121" s="558"/>
      <c r="K121" s="558"/>
      <c r="L121" s="558"/>
      <c r="M121" s="558"/>
      <c r="N121" s="558"/>
      <c r="O121" s="558"/>
      <c r="P121" s="558"/>
      <c r="Q121" s="558"/>
      <c r="R121" s="558"/>
      <c r="S121" s="558"/>
      <c r="T121" s="558"/>
      <c r="U121" s="558"/>
      <c r="V121" s="558"/>
      <c r="W121" s="558"/>
      <c r="X121" s="558"/>
      <c r="Y121" s="558"/>
      <c r="Z121" s="558"/>
    </row>
    <row r="122" spans="5:26" s="41" customFormat="1" ht="24.6" x14ac:dyDescent="0.4">
      <c r="E122" s="557" t="s">
        <v>308</v>
      </c>
      <c r="F122" s="558"/>
      <c r="G122" s="558"/>
      <c r="H122" s="558"/>
      <c r="I122" s="558"/>
      <c r="J122" s="558"/>
      <c r="K122" s="558"/>
      <c r="L122" s="558"/>
      <c r="M122" s="558"/>
      <c r="N122" s="558"/>
      <c r="O122" s="558"/>
      <c r="P122" s="558"/>
      <c r="Q122" s="558"/>
      <c r="R122" s="558"/>
      <c r="S122" s="558"/>
      <c r="T122" s="558"/>
      <c r="U122" s="558"/>
      <c r="V122" s="558"/>
      <c r="W122" s="558"/>
      <c r="X122" s="558"/>
      <c r="Y122" s="558"/>
      <c r="Z122" s="558"/>
    </row>
    <row r="123" spans="5:26" s="41" customFormat="1" ht="24.6" x14ac:dyDescent="0.4">
      <c r="E123" s="557" t="s">
        <v>310</v>
      </c>
      <c r="F123" s="558"/>
      <c r="G123" s="558"/>
      <c r="H123" s="558"/>
      <c r="I123" s="558"/>
      <c r="J123" s="558"/>
      <c r="K123" s="558"/>
      <c r="L123" s="558"/>
      <c r="M123" s="558"/>
      <c r="N123" s="558"/>
      <c r="O123" s="558"/>
      <c r="P123" s="558"/>
      <c r="Q123" s="558"/>
      <c r="R123" s="558"/>
      <c r="S123" s="558"/>
      <c r="T123" s="558"/>
      <c r="U123" s="558"/>
      <c r="V123" s="558"/>
      <c r="W123" s="558"/>
      <c r="X123" s="558"/>
      <c r="Y123" s="558"/>
      <c r="Z123" s="558"/>
    </row>
    <row r="124" spans="5:26" s="41" customFormat="1" ht="24.6" x14ac:dyDescent="0.4">
      <c r="E124" s="557" t="s">
        <v>311</v>
      </c>
      <c r="F124" s="558"/>
      <c r="G124" s="558"/>
      <c r="H124" s="558"/>
      <c r="I124" s="558"/>
      <c r="J124" s="558"/>
      <c r="K124" s="558"/>
      <c r="L124" s="558"/>
      <c r="M124" s="558"/>
      <c r="N124" s="558"/>
      <c r="O124" s="558"/>
      <c r="P124" s="558"/>
      <c r="Q124" s="558"/>
      <c r="R124" s="558"/>
      <c r="S124" s="558"/>
      <c r="T124" s="558"/>
      <c r="U124" s="558"/>
      <c r="V124" s="558"/>
      <c r="W124" s="558"/>
      <c r="X124" s="558"/>
      <c r="Y124" s="558"/>
      <c r="Z124" s="558"/>
    </row>
    <row r="125" spans="5:26" s="41" customFormat="1" ht="24.6" x14ac:dyDescent="0.4">
      <c r="E125" s="557" t="s">
        <v>265</v>
      </c>
      <c r="F125" s="558"/>
      <c r="G125" s="558"/>
      <c r="H125" s="558"/>
      <c r="I125" s="558"/>
      <c r="J125" s="558"/>
      <c r="K125" s="558"/>
      <c r="L125" s="558"/>
      <c r="M125" s="558"/>
      <c r="N125" s="558"/>
      <c r="O125" s="558"/>
      <c r="P125" s="558"/>
      <c r="Q125" s="558"/>
      <c r="R125" s="558"/>
      <c r="S125" s="558"/>
      <c r="T125" s="558"/>
      <c r="U125" s="558"/>
      <c r="V125" s="558"/>
      <c r="W125" s="558"/>
      <c r="X125" s="558"/>
      <c r="Y125" s="558"/>
      <c r="Z125" s="558"/>
    </row>
    <row r="126" spans="5:26" s="41" customFormat="1" ht="24.6" x14ac:dyDescent="0.4">
      <c r="E126" s="557"/>
      <c r="F126" s="558"/>
      <c r="G126" s="558"/>
      <c r="H126" s="558"/>
      <c r="I126" s="558"/>
      <c r="J126" s="558"/>
      <c r="K126" s="558"/>
      <c r="L126" s="558"/>
      <c r="M126" s="558"/>
      <c r="N126" s="558"/>
      <c r="O126" s="558"/>
      <c r="P126" s="558"/>
      <c r="Q126" s="558"/>
      <c r="R126" s="558"/>
      <c r="S126" s="558"/>
      <c r="T126" s="558"/>
      <c r="U126" s="558"/>
      <c r="V126" s="558"/>
      <c r="W126" s="558"/>
      <c r="X126" s="558"/>
      <c r="Y126" s="558"/>
      <c r="Z126" s="558"/>
    </row>
  </sheetData>
  <sheetProtection algorithmName="SHA-512" hashValue="smzOuiKqR5EiFB6LfLAn3ACP2xObSUCN5bvPJljrgZcsUPOMruZqhOgL5mTViI0V/Za+85NgmUOg3Eab4BzVqg==" saltValue="TJzCI3iQM33x6sun4PJPVQ==" spinCount="100000" sheet="1" formatRows="0" insertColumns="0" deleteColumns="0" deleteRows="0" sort="0"/>
  <mergeCells count="490">
    <mergeCell ref="AN92:AZ92"/>
    <mergeCell ref="AN93:AZ93"/>
    <mergeCell ref="Y89:AM89"/>
    <mergeCell ref="Y90:AM90"/>
    <mergeCell ref="Y91:AM91"/>
    <mergeCell ref="Y92:AM92"/>
    <mergeCell ref="AN88:AZ88"/>
    <mergeCell ref="AM28:AZ28"/>
    <mergeCell ref="AE28:AJ28"/>
    <mergeCell ref="AE29:AJ29"/>
    <mergeCell ref="AM30:AZ30"/>
    <mergeCell ref="AM31:AZ31"/>
    <mergeCell ref="AA34:AD34"/>
    <mergeCell ref="AE34:AJ34"/>
    <mergeCell ref="AA33:AD33"/>
    <mergeCell ref="B36:AZ36"/>
    <mergeCell ref="B37:AZ37"/>
    <mergeCell ref="B93:X93"/>
    <mergeCell ref="Y88:AM88"/>
    <mergeCell ref="B91:X91"/>
    <mergeCell ref="B92:X92"/>
    <mergeCell ref="B89:X89"/>
    <mergeCell ref="B90:X90"/>
    <mergeCell ref="B88:X88"/>
    <mergeCell ref="Y93:AM93"/>
    <mergeCell ref="B15:D15"/>
    <mergeCell ref="B41:AZ42"/>
    <mergeCell ref="B59:AZ60"/>
    <mergeCell ref="B84:I84"/>
    <mergeCell ref="J84:AZ84"/>
    <mergeCell ref="AG15:AJ15"/>
    <mergeCell ref="E15:T15"/>
    <mergeCell ref="B20:AZ20"/>
    <mergeCell ref="AM29:AZ29"/>
    <mergeCell ref="AG17:AT17"/>
    <mergeCell ref="AL82:AU82"/>
    <mergeCell ref="AM26:AZ26"/>
    <mergeCell ref="AM27:AZ27"/>
    <mergeCell ref="AN89:AZ89"/>
    <mergeCell ref="AN90:AZ90"/>
    <mergeCell ref="AN91:AZ91"/>
    <mergeCell ref="P30:R30"/>
    <mergeCell ref="S30:U30"/>
    <mergeCell ref="V30:X30"/>
    <mergeCell ref="Y30:Z30"/>
    <mergeCell ref="AA30:AD30"/>
    <mergeCell ref="AE30:AJ30"/>
    <mergeCell ref="V33:X33"/>
    <mergeCell ref="P33:R33"/>
    <mergeCell ref="E8:T8"/>
    <mergeCell ref="E9:T9"/>
    <mergeCell ref="AG12:AJ12"/>
    <mergeCell ref="E12:T12"/>
    <mergeCell ref="AG13:AJ13"/>
    <mergeCell ref="AG10:AJ10"/>
    <mergeCell ref="AE33:AJ33"/>
    <mergeCell ref="AA31:AD31"/>
    <mergeCell ref="AE31:AJ31"/>
    <mergeCell ref="AA32:AD32"/>
    <mergeCell ref="S33:U33"/>
    <mergeCell ref="V25:X25"/>
    <mergeCell ref="Y25:Z25"/>
    <mergeCell ref="AA25:AD25"/>
    <mergeCell ref="AL13:AT13"/>
    <mergeCell ref="AL14:AT14"/>
    <mergeCell ref="AM32:AZ32"/>
    <mergeCell ref="AM33:AZ33"/>
    <mergeCell ref="B18:AZ18"/>
    <mergeCell ref="E13:T13"/>
    <mergeCell ref="AG14:AJ14"/>
    <mergeCell ref="AE32:AJ32"/>
    <mergeCell ref="B32:D32"/>
    <mergeCell ref="E32:O32"/>
    <mergeCell ref="P32:R32"/>
    <mergeCell ref="S32:U32"/>
    <mergeCell ref="B33:D33"/>
    <mergeCell ref="E33:O33"/>
    <mergeCell ref="B30:D30"/>
    <mergeCell ref="E30:O30"/>
    <mergeCell ref="FN7:FQ7"/>
    <mergeCell ref="FN8:FQ8"/>
    <mergeCell ref="FN9:FQ9"/>
    <mergeCell ref="FN10:FQ10"/>
    <mergeCell ref="FT7:FW7"/>
    <mergeCell ref="FT8:FW8"/>
    <mergeCell ref="FT11:FW11"/>
    <mergeCell ref="FN11:FQ11"/>
    <mergeCell ref="AV10:AZ10"/>
    <mergeCell ref="AV11:AZ11"/>
    <mergeCell ref="AV7:AZ7"/>
    <mergeCell ref="FN1:FW1"/>
    <mergeCell ref="AV15:AZ15"/>
    <mergeCell ref="AL1:BA1"/>
    <mergeCell ref="FN15:FQ15"/>
    <mergeCell ref="B13:D13"/>
    <mergeCell ref="AV5:AZ5"/>
    <mergeCell ref="B8:D8"/>
    <mergeCell ref="B10:D10"/>
    <mergeCell ref="FT12:FW12"/>
    <mergeCell ref="FT13:FW13"/>
    <mergeCell ref="FT14:FW14"/>
    <mergeCell ref="FT15:FW15"/>
    <mergeCell ref="FN12:FQ12"/>
    <mergeCell ref="FT9:FW9"/>
    <mergeCell ref="FT10:FW10"/>
    <mergeCell ref="B12:D12"/>
    <mergeCell ref="FN14:FQ14"/>
    <mergeCell ref="FN13:FQ13"/>
    <mergeCell ref="AG11:AJ11"/>
    <mergeCell ref="FT6:FW6"/>
    <mergeCell ref="FN6:FQ6"/>
    <mergeCell ref="B5:D5"/>
    <mergeCell ref="AV13:AZ13"/>
    <mergeCell ref="B6:D6"/>
    <mergeCell ref="AG5:AJ5"/>
    <mergeCell ref="AV8:AZ8"/>
    <mergeCell ref="AV9:AZ9"/>
    <mergeCell ref="B9:D9"/>
    <mergeCell ref="B7:D7"/>
    <mergeCell ref="E5:T5"/>
    <mergeCell ref="E6:T6"/>
    <mergeCell ref="U11:AF11"/>
    <mergeCell ref="U12:AF12"/>
    <mergeCell ref="AL5:AT5"/>
    <mergeCell ref="AL6:AT6"/>
    <mergeCell ref="AL7:AT7"/>
    <mergeCell ref="AL10:AT10"/>
    <mergeCell ref="AG9:AJ9"/>
    <mergeCell ref="AV6:AZ6"/>
    <mergeCell ref="AG6:AJ6"/>
    <mergeCell ref="AG8:AJ8"/>
    <mergeCell ref="AG7:AJ7"/>
    <mergeCell ref="AL12:AT12"/>
    <mergeCell ref="AL9:AT9"/>
    <mergeCell ref="E7:T7"/>
    <mergeCell ref="AV14:AZ14"/>
    <mergeCell ref="AV12:AZ12"/>
    <mergeCell ref="AM25:AZ25"/>
    <mergeCell ref="AE24:AJ24"/>
    <mergeCell ref="U14:AF14"/>
    <mergeCell ref="U15:AF15"/>
    <mergeCell ref="AL8:AT8"/>
    <mergeCell ref="AM24:AZ24"/>
    <mergeCell ref="B21:AZ21"/>
    <mergeCell ref="B11:D11"/>
    <mergeCell ref="E10:T10"/>
    <mergeCell ref="B14:D14"/>
    <mergeCell ref="E11:T11"/>
    <mergeCell ref="E14:T14"/>
    <mergeCell ref="U13:AF13"/>
    <mergeCell ref="AL43:AN43"/>
    <mergeCell ref="AE43:AJ43"/>
    <mergeCell ref="B43:D43"/>
    <mergeCell ref="P43:R43"/>
    <mergeCell ref="S43:U43"/>
    <mergeCell ref="AA35:AD35"/>
    <mergeCell ref="AE35:AJ35"/>
    <mergeCell ref="B35:Z35"/>
    <mergeCell ref="P34:R34"/>
    <mergeCell ref="S34:U34"/>
    <mergeCell ref="V34:X34"/>
    <mergeCell ref="Y34:Z34"/>
    <mergeCell ref="AM35:AZ35"/>
    <mergeCell ref="AM34:AZ34"/>
    <mergeCell ref="B34:D34"/>
    <mergeCell ref="E34:O34"/>
    <mergeCell ref="B29:D29"/>
    <mergeCell ref="E43:O43"/>
    <mergeCell ref="V43:X43"/>
    <mergeCell ref="Y28:Z28"/>
    <mergeCell ref="E25:O25"/>
    <mergeCell ref="P25:R25"/>
    <mergeCell ref="S25:U25"/>
    <mergeCell ref="AE25:AJ25"/>
    <mergeCell ref="E26:O26"/>
    <mergeCell ref="P26:R26"/>
    <mergeCell ref="S26:U26"/>
    <mergeCell ref="Y26:Z26"/>
    <mergeCell ref="AA26:AD26"/>
    <mergeCell ref="AE26:AJ26"/>
    <mergeCell ref="E27:O27"/>
    <mergeCell ref="B31:D31"/>
    <mergeCell ref="E31:O31"/>
    <mergeCell ref="P31:R31"/>
    <mergeCell ref="S31:U31"/>
    <mergeCell ref="V31:X31"/>
    <mergeCell ref="Y31:Z31"/>
    <mergeCell ref="V32:X32"/>
    <mergeCell ref="Y33:Z33"/>
    <mergeCell ref="Y32:Z32"/>
    <mergeCell ref="P44:R44"/>
    <mergeCell ref="S44:U44"/>
    <mergeCell ref="P48:R48"/>
    <mergeCell ref="S48:U48"/>
    <mergeCell ref="B49:D49"/>
    <mergeCell ref="E49:O49"/>
    <mergeCell ref="P49:R49"/>
    <mergeCell ref="S49:U49"/>
    <mergeCell ref="B48:D48"/>
    <mergeCell ref="P46:R46"/>
    <mergeCell ref="S46:U46"/>
    <mergeCell ref="B44:D44"/>
    <mergeCell ref="E45:O45"/>
    <mergeCell ref="P47:R47"/>
    <mergeCell ref="B46:D46"/>
    <mergeCell ref="B47:D47"/>
    <mergeCell ref="B45:D45"/>
    <mergeCell ref="B51:D51"/>
    <mergeCell ref="E51:O51"/>
    <mergeCell ref="P51:R51"/>
    <mergeCell ref="S51:U51"/>
    <mergeCell ref="B53:D53"/>
    <mergeCell ref="E53:O53"/>
    <mergeCell ref="P53:R53"/>
    <mergeCell ref="AE47:AJ47"/>
    <mergeCell ref="V49:X49"/>
    <mergeCell ref="Y49:Z49"/>
    <mergeCell ref="AA49:AD49"/>
    <mergeCell ref="AE49:AJ49"/>
    <mergeCell ref="V50:X50"/>
    <mergeCell ref="Y50:Z50"/>
    <mergeCell ref="AA50:AD50"/>
    <mergeCell ref="AE50:AJ50"/>
    <mergeCell ref="V48:X48"/>
    <mergeCell ref="B61:D61"/>
    <mergeCell ref="B63:D63"/>
    <mergeCell ref="B64:D64"/>
    <mergeCell ref="AE46:AJ46"/>
    <mergeCell ref="AA52:AD52"/>
    <mergeCell ref="AE52:AJ52"/>
    <mergeCell ref="AL52:AN52"/>
    <mergeCell ref="AO52:AV52"/>
    <mergeCell ref="AL48:AN48"/>
    <mergeCell ref="V46:X46"/>
    <mergeCell ref="E47:O47"/>
    <mergeCell ref="V47:X47"/>
    <mergeCell ref="AL49:AN49"/>
    <mergeCell ref="AO49:AV49"/>
    <mergeCell ref="AL51:AN51"/>
    <mergeCell ref="AO51:AV51"/>
    <mergeCell ref="B52:D52"/>
    <mergeCell ref="E52:O52"/>
    <mergeCell ref="P52:R52"/>
    <mergeCell ref="S52:U52"/>
    <mergeCell ref="V52:X52"/>
    <mergeCell ref="Y52:Z52"/>
    <mergeCell ref="B50:D50"/>
    <mergeCell ref="E50:O50"/>
    <mergeCell ref="AF65:AJ65"/>
    <mergeCell ref="AF66:AJ66"/>
    <mergeCell ref="AB67:AE67"/>
    <mergeCell ref="AF67:AJ67"/>
    <mergeCell ref="E62:N62"/>
    <mergeCell ref="O62:S62"/>
    <mergeCell ref="T62:X62"/>
    <mergeCell ref="E63:N63"/>
    <mergeCell ref="T63:X63"/>
    <mergeCell ref="Y63:AA63"/>
    <mergeCell ref="AF69:AJ69"/>
    <mergeCell ref="AB69:AE69"/>
    <mergeCell ref="AL53:AN53"/>
    <mergeCell ref="AO53:AV53"/>
    <mergeCell ref="AW53:AZ53"/>
    <mergeCell ref="S53:U53"/>
    <mergeCell ref="AB65:AE65"/>
    <mergeCell ref="O63:S63"/>
    <mergeCell ref="E64:N64"/>
    <mergeCell ref="AV66:AZ66"/>
    <mergeCell ref="B56:AZ56"/>
    <mergeCell ref="B67:D67"/>
    <mergeCell ref="E67:N67"/>
    <mergeCell ref="O67:S67"/>
    <mergeCell ref="T67:X67"/>
    <mergeCell ref="Y67:AA67"/>
    <mergeCell ref="AL67:AN67"/>
    <mergeCell ref="AL54:AN54"/>
    <mergeCell ref="B62:D62"/>
    <mergeCell ref="Y62:AA62"/>
    <mergeCell ref="AB62:AE62"/>
    <mergeCell ref="AF62:AJ62"/>
    <mergeCell ref="E65:N65"/>
    <mergeCell ref="T64:X64"/>
    <mergeCell ref="A1:AJ1"/>
    <mergeCell ref="B27:D27"/>
    <mergeCell ref="V27:X27"/>
    <mergeCell ref="V28:X28"/>
    <mergeCell ref="V26:X26"/>
    <mergeCell ref="AB70:AE70"/>
    <mergeCell ref="AF70:AJ70"/>
    <mergeCell ref="B70:D70"/>
    <mergeCell ref="Y70:AA70"/>
    <mergeCell ref="V24:X24"/>
    <mergeCell ref="B28:D28"/>
    <mergeCell ref="B26:D26"/>
    <mergeCell ref="B25:D25"/>
    <mergeCell ref="AA24:AD24"/>
    <mergeCell ref="AA28:AD28"/>
    <mergeCell ref="B24:D24"/>
    <mergeCell ref="E24:O24"/>
    <mergeCell ref="P24:R24"/>
    <mergeCell ref="S24:U24"/>
    <mergeCell ref="Y24:Z24"/>
    <mergeCell ref="E28:O28"/>
    <mergeCell ref="P28:R28"/>
    <mergeCell ref="S28:U28"/>
    <mergeCell ref="Y69:AA69"/>
    <mergeCell ref="AW51:AZ51"/>
    <mergeCell ref="AW52:AZ52"/>
    <mergeCell ref="AW49:AZ49"/>
    <mergeCell ref="P50:R50"/>
    <mergeCell ref="S50:U50"/>
    <mergeCell ref="AL50:AN50"/>
    <mergeCell ref="AO50:AV50"/>
    <mergeCell ref="AW50:AZ50"/>
    <mergeCell ref="AE54:AJ54"/>
    <mergeCell ref="V51:X51"/>
    <mergeCell ref="Y51:Z51"/>
    <mergeCell ref="AA51:AD51"/>
    <mergeCell ref="AE51:AJ51"/>
    <mergeCell ref="V53:X53"/>
    <mergeCell ref="Y53:Z53"/>
    <mergeCell ref="AA53:AD53"/>
    <mergeCell ref="AE53:AJ53"/>
    <mergeCell ref="P27:R27"/>
    <mergeCell ref="S27:U27"/>
    <mergeCell ref="Y27:Z27"/>
    <mergeCell ref="AA27:AD27"/>
    <mergeCell ref="AE27:AJ27"/>
    <mergeCell ref="E29:O29"/>
    <mergeCell ref="P29:R29"/>
    <mergeCell ref="S29:U29"/>
    <mergeCell ref="V29:X29"/>
    <mergeCell ref="Y29:Z29"/>
    <mergeCell ref="AA29:AD29"/>
    <mergeCell ref="AL44:AN44"/>
    <mergeCell ref="AL45:AN45"/>
    <mergeCell ref="AL46:AN46"/>
    <mergeCell ref="AL47:AN47"/>
    <mergeCell ref="V44:X44"/>
    <mergeCell ref="E46:O46"/>
    <mergeCell ref="S45:U45"/>
    <mergeCell ref="Y61:AA61"/>
    <mergeCell ref="AB61:AE61"/>
    <mergeCell ref="AF61:AJ61"/>
    <mergeCell ref="T61:X61"/>
    <mergeCell ref="O61:S61"/>
    <mergeCell ref="E61:N61"/>
    <mergeCell ref="AE44:AJ44"/>
    <mergeCell ref="V45:X45"/>
    <mergeCell ref="E48:O48"/>
    <mergeCell ref="P45:R45"/>
    <mergeCell ref="AE48:AJ48"/>
    <mergeCell ref="E44:O44"/>
    <mergeCell ref="S47:U47"/>
    <mergeCell ref="AE45:AJ45"/>
    <mergeCell ref="AA54:AD54"/>
    <mergeCell ref="B54:Z54"/>
    <mergeCell ref="B55:AZ55"/>
    <mergeCell ref="E71:N71"/>
    <mergeCell ref="O71:S71"/>
    <mergeCell ref="T71:X71"/>
    <mergeCell ref="Y66:AA66"/>
    <mergeCell ref="AB66:AE66"/>
    <mergeCell ref="B69:D69"/>
    <mergeCell ref="E69:N69"/>
    <mergeCell ref="O69:S69"/>
    <mergeCell ref="T69:X69"/>
    <mergeCell ref="E70:N70"/>
    <mergeCell ref="O70:S70"/>
    <mergeCell ref="T70:X70"/>
    <mergeCell ref="Y64:AA64"/>
    <mergeCell ref="AB64:AE64"/>
    <mergeCell ref="AF64:AJ64"/>
    <mergeCell ref="Y71:AA71"/>
    <mergeCell ref="AL71:AN71"/>
    <mergeCell ref="B72:X72"/>
    <mergeCell ref="T66:X66"/>
    <mergeCell ref="AF72:AJ72"/>
    <mergeCell ref="B65:D65"/>
    <mergeCell ref="AB71:AE71"/>
    <mergeCell ref="AF71:AJ71"/>
    <mergeCell ref="B71:D71"/>
    <mergeCell ref="B66:D66"/>
    <mergeCell ref="O65:S65"/>
    <mergeCell ref="T65:X65"/>
    <mergeCell ref="E66:N66"/>
    <mergeCell ref="O66:S66"/>
    <mergeCell ref="B68:D68"/>
    <mergeCell ref="E68:N68"/>
    <mergeCell ref="O68:S68"/>
    <mergeCell ref="T68:X68"/>
    <mergeCell ref="Y68:AA68"/>
    <mergeCell ref="AB68:AE68"/>
    <mergeCell ref="AF68:AJ68"/>
    <mergeCell ref="AW47:AZ47"/>
    <mergeCell ref="AO48:AV48"/>
    <mergeCell ref="AW48:AZ48"/>
    <mergeCell ref="AO54:AV54"/>
    <mergeCell ref="AW54:AZ54"/>
    <mergeCell ref="AV63:AZ63"/>
    <mergeCell ref="B57:AZ57"/>
    <mergeCell ref="AW43:AZ43"/>
    <mergeCell ref="AO43:AV43"/>
    <mergeCell ref="AW44:AZ44"/>
    <mergeCell ref="AO44:AV44"/>
    <mergeCell ref="AO45:AV45"/>
    <mergeCell ref="AW45:AZ45"/>
    <mergeCell ref="AO46:AV46"/>
    <mergeCell ref="AW46:AZ46"/>
    <mergeCell ref="AV62:AZ62"/>
    <mergeCell ref="AL62:AN62"/>
    <mergeCell ref="AL63:AN63"/>
    <mergeCell ref="AL61:AN61"/>
    <mergeCell ref="Y43:Z43"/>
    <mergeCell ref="Y44:Z44"/>
    <mergeCell ref="Y45:Z45"/>
    <mergeCell ref="Y46:Z46"/>
    <mergeCell ref="Y47:Z47"/>
    <mergeCell ref="AO62:AU62"/>
    <mergeCell ref="AV72:AZ72"/>
    <mergeCell ref="AO67:AU67"/>
    <mergeCell ref="AV67:AZ67"/>
    <mergeCell ref="AO68:AU68"/>
    <mergeCell ref="AO69:AU69"/>
    <mergeCell ref="AV69:AZ69"/>
    <mergeCell ref="AV68:AZ68"/>
    <mergeCell ref="B74:AN74"/>
    <mergeCell ref="AO72:AU72"/>
    <mergeCell ref="AO63:AU63"/>
    <mergeCell ref="AL64:AN64"/>
    <mergeCell ref="AL70:AN70"/>
    <mergeCell ref="AL68:AN68"/>
    <mergeCell ref="AL69:AN69"/>
    <mergeCell ref="Y65:AA65"/>
    <mergeCell ref="AB72:AE72"/>
    <mergeCell ref="AB63:AE63"/>
    <mergeCell ref="O64:S64"/>
    <mergeCell ref="AL72:AN72"/>
    <mergeCell ref="AL65:AN65"/>
    <mergeCell ref="AL66:AN66"/>
    <mergeCell ref="Y72:AA72"/>
    <mergeCell ref="AF63:AJ63"/>
    <mergeCell ref="B4:AZ4"/>
    <mergeCell ref="AO70:AU70"/>
    <mergeCell ref="AV70:AZ70"/>
    <mergeCell ref="AO71:AU71"/>
    <mergeCell ref="AV71:AZ71"/>
    <mergeCell ref="AO64:AU64"/>
    <mergeCell ref="AV64:AZ64"/>
    <mergeCell ref="AO65:AU65"/>
    <mergeCell ref="AV65:AZ65"/>
    <mergeCell ref="B19:AZ19"/>
    <mergeCell ref="AQ16:AT16"/>
    <mergeCell ref="AV16:AZ16"/>
    <mergeCell ref="E16:AB16"/>
    <mergeCell ref="B16:D16"/>
    <mergeCell ref="AC16:AF16"/>
    <mergeCell ref="AG16:AJ16"/>
    <mergeCell ref="AL16:AP16"/>
    <mergeCell ref="U5:AF5"/>
    <mergeCell ref="U6:AF6"/>
    <mergeCell ref="U7:AF7"/>
    <mergeCell ref="U8:AF8"/>
    <mergeCell ref="U9:AF9"/>
    <mergeCell ref="U10:AF10"/>
    <mergeCell ref="AL11:AT11"/>
    <mergeCell ref="AL15:AT15"/>
    <mergeCell ref="E126:Z126"/>
    <mergeCell ref="E122:Z122"/>
    <mergeCell ref="E123:Z123"/>
    <mergeCell ref="E124:Z124"/>
    <mergeCell ref="E118:Z118"/>
    <mergeCell ref="E119:Z119"/>
    <mergeCell ref="E120:Z120"/>
    <mergeCell ref="E121:Z121"/>
    <mergeCell ref="E125:Z125"/>
    <mergeCell ref="AO66:AU66"/>
    <mergeCell ref="AO47:AV47"/>
    <mergeCell ref="Y48:Z48"/>
    <mergeCell ref="AA43:AD43"/>
    <mergeCell ref="AA44:AD44"/>
    <mergeCell ref="AA45:AD45"/>
    <mergeCell ref="AA46:AD46"/>
    <mergeCell ref="AA47:AD47"/>
    <mergeCell ref="AA48:AD48"/>
    <mergeCell ref="AP74:AU74"/>
    <mergeCell ref="AV74:AZ74"/>
    <mergeCell ref="B73:AZ73"/>
    <mergeCell ref="AV61:AZ61"/>
    <mergeCell ref="AO61:AU61"/>
  </mergeCells>
  <phoneticPr fontId="0" type="noConversion"/>
  <dataValidations count="2">
    <dataValidation type="list" allowBlank="1" showInputMessage="1" showErrorMessage="1" sqref="E6:T11">
      <formula1>$E$118:$E$126</formula1>
    </dataValidation>
    <dataValidation type="list" allowBlank="1" showInputMessage="1" showErrorMessage="1" sqref="BA89:BA93 AN89:AN93">
      <formula1>"TITOLARE,COADIUVANTE FAMILIARE"</formula1>
    </dataValidation>
  </dataValidations>
  <printOptions horizontalCentered="1"/>
  <pageMargins left="0.27559055118110237" right="0.27559055118110237" top="0.59055118110236227" bottom="0.43307086614173229" header="0.31496062992125984" footer="0.31496062992125984"/>
  <pageSetup paperSize="9" scale="43" fitToHeight="2" orientation="portrait" blackAndWhite="1" r:id="rId1"/>
  <headerFooter alignWithMargins="0">
    <oddHeader>&amp;C&amp;14Regione Liguria - Piano Aziendale di Sviluppo&amp;RPACCHETTO GIOVANI SOTTOMISURE 4.1 e 6.1</oddHeader>
    <oddFooter>&amp;C&amp;14&amp;A&amp;Rpag 3</oddFooter>
  </headerFooter>
  <rowBreaks count="1" manualBreakCount="1">
    <brk id="38" max="58"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comuni!$B$2:$B$235</xm:f>
          </x14:formula1>
          <xm:sqref>E44:O53 E25:O34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2:BH355"/>
  <sheetViews>
    <sheetView showGridLines="0" topLeftCell="A42" zoomScaleNormal="100" zoomScaleSheetLayoutView="90" workbookViewId="0">
      <selection activeCell="K56" sqref="K56"/>
    </sheetView>
  </sheetViews>
  <sheetFormatPr defaultColWidth="8.88671875" defaultRowHeight="13.8" x14ac:dyDescent="0.25"/>
  <cols>
    <col min="1" max="1" width="1.33203125" style="158" customWidth="1"/>
    <col min="2" max="2" width="5.109375" style="159" customWidth="1"/>
    <col min="3" max="3" width="49.88671875" style="158" customWidth="1"/>
    <col min="4" max="9" width="7.33203125" style="158" customWidth="1"/>
    <col min="10" max="10" width="34.33203125" style="158" customWidth="1"/>
    <col min="11" max="11" width="11.44140625" style="159" customWidth="1"/>
    <col min="12" max="12" width="14.33203125" style="159" customWidth="1"/>
    <col min="13" max="13" width="13.33203125" style="158" customWidth="1"/>
    <col min="14" max="14" width="6.88671875" style="162" customWidth="1"/>
    <col min="15" max="15" width="8.88671875" style="158" customWidth="1"/>
    <col min="16" max="16" width="12.44140625" style="158" customWidth="1"/>
    <col min="17" max="17" width="1.44140625" style="158" customWidth="1"/>
    <col min="18" max="18" width="20.44140625" style="158" customWidth="1"/>
    <col min="19" max="19" width="8.88671875" style="158"/>
    <col min="20" max="20" width="8.88671875" style="158" customWidth="1"/>
    <col min="21" max="21" width="9.44140625" style="158" customWidth="1"/>
    <col min="22" max="23" width="14.109375" style="441" customWidth="1"/>
    <col min="24" max="25" width="12.88671875" style="441" customWidth="1"/>
    <col min="26" max="45" width="8.88671875" style="441" customWidth="1"/>
    <col min="46" max="60" width="8.88671875" style="441"/>
    <col min="61" max="16384" width="8.88671875" style="158"/>
  </cols>
  <sheetData>
    <row r="2" spans="2:60" ht="27.75" customHeight="1" x14ac:dyDescent="0.3">
      <c r="B2" s="716" t="s">
        <v>935</v>
      </c>
      <c r="C2" s="716"/>
      <c r="D2" s="716"/>
      <c r="E2" s="716"/>
      <c r="F2" s="716"/>
      <c r="G2" s="716"/>
      <c r="H2" s="716"/>
      <c r="I2" s="716"/>
      <c r="J2" s="716"/>
      <c r="K2" s="716"/>
      <c r="L2" s="716"/>
      <c r="M2" s="716"/>
      <c r="N2" s="716"/>
      <c r="O2" s="716"/>
      <c r="P2" s="716"/>
    </row>
    <row r="4" spans="2:60" s="160" customFormat="1" ht="36" x14ac:dyDescent="0.25">
      <c r="B4" s="221" t="s">
        <v>407</v>
      </c>
      <c r="C4" s="221" t="s">
        <v>408</v>
      </c>
      <c r="D4" s="341" t="s">
        <v>453</v>
      </c>
      <c r="E4" s="341" t="s">
        <v>882</v>
      </c>
      <c r="F4" s="341" t="s">
        <v>435</v>
      </c>
      <c r="G4" s="341" t="s">
        <v>880</v>
      </c>
      <c r="H4" s="341" t="s">
        <v>881</v>
      </c>
      <c r="I4" s="725" t="s">
        <v>409</v>
      </c>
      <c r="J4" s="726"/>
      <c r="K4" s="217" t="s">
        <v>410</v>
      </c>
      <c r="L4" s="217" t="s">
        <v>947</v>
      </c>
      <c r="M4" s="221" t="s">
        <v>438</v>
      </c>
      <c r="N4" s="217" t="s">
        <v>411</v>
      </c>
      <c r="O4" s="217" t="s">
        <v>1185</v>
      </c>
      <c r="P4" s="221" t="s">
        <v>437</v>
      </c>
      <c r="V4" s="442"/>
      <c r="W4" s="442"/>
      <c r="X4" s="442"/>
      <c r="Y4" s="442"/>
      <c r="Z4" s="442"/>
      <c r="AA4" s="442"/>
      <c r="AB4" s="442"/>
      <c r="AC4" s="442"/>
      <c r="AD4" s="442"/>
      <c r="AE4" s="442"/>
      <c r="AF4" s="442"/>
      <c r="AG4" s="442"/>
      <c r="AH4" s="442"/>
      <c r="AI4" s="442"/>
      <c r="AJ4" s="442"/>
      <c r="AK4" s="442"/>
      <c r="AL4" s="442"/>
      <c r="AM4" s="442"/>
      <c r="AN4" s="442"/>
      <c r="AO4" s="442"/>
      <c r="AP4" s="442"/>
      <c r="AQ4" s="442"/>
      <c r="AR4" s="442"/>
      <c r="AS4" s="442"/>
      <c r="AT4" s="442"/>
      <c r="AU4" s="442"/>
      <c r="AV4" s="442"/>
      <c r="AW4" s="442"/>
      <c r="AX4" s="442"/>
      <c r="AY4" s="442"/>
      <c r="AZ4" s="442"/>
      <c r="BA4" s="442"/>
      <c r="BB4" s="442"/>
      <c r="BC4" s="442"/>
      <c r="BD4" s="442"/>
      <c r="BE4" s="442"/>
      <c r="BF4" s="442"/>
      <c r="BG4" s="442"/>
      <c r="BH4" s="442"/>
    </row>
    <row r="5" spans="2:60" s="160" customFormat="1" ht="32.4" customHeight="1" x14ac:dyDescent="0.25">
      <c r="B5" s="704">
        <v>1</v>
      </c>
      <c r="C5" s="707" t="s">
        <v>872</v>
      </c>
      <c r="D5" s="273"/>
      <c r="E5" s="392" t="s">
        <v>1183</v>
      </c>
      <c r="F5" s="273"/>
      <c r="G5" s="273"/>
      <c r="H5" s="273"/>
      <c r="I5" s="710"/>
      <c r="J5" s="711"/>
      <c r="K5" s="218"/>
      <c r="L5" s="337"/>
      <c r="M5" s="338">
        <f t="shared" ref="M5:M34" si="0">+L5</f>
        <v>0</v>
      </c>
      <c r="N5" s="170">
        <f>IF($D$5="SI",40%,IF('PAS PACCHETTO 1 anagraf'!$E$60="RISULTA",50%,40%))</f>
        <v>0.5</v>
      </c>
      <c r="O5" s="219">
        <f>IF($D$5="si",,COUNTA($E$5:$H$5)*10%)</f>
        <v>0.1</v>
      </c>
      <c r="P5" s="161">
        <f>+M5*(N5+O5)</f>
        <v>0</v>
      </c>
      <c r="R5" s="451" t="str">
        <f>IF(M5&gt;L5,"ERRORE, SUPERATO IL MAX"," ")</f>
        <v xml:space="preserve"> </v>
      </c>
      <c r="V5" s="443" t="s">
        <v>861</v>
      </c>
      <c r="W5" s="443" t="s">
        <v>862</v>
      </c>
      <c r="X5" s="443" t="s">
        <v>863</v>
      </c>
      <c r="Y5" s="442"/>
      <c r="Z5" s="442"/>
      <c r="AA5" s="442"/>
      <c r="AB5" s="442"/>
      <c r="AC5" s="442"/>
      <c r="AD5" s="442"/>
      <c r="AE5" s="442"/>
      <c r="AF5" s="442"/>
      <c r="AG5" s="442"/>
      <c r="AH5" s="442"/>
      <c r="AI5" s="442"/>
      <c r="AJ5" s="442"/>
      <c r="AK5" s="442"/>
      <c r="AL5" s="442"/>
      <c r="AM5" s="442"/>
      <c r="AN5" s="442"/>
      <c r="AO5" s="442"/>
      <c r="AP5" s="442"/>
      <c r="AQ5" s="442"/>
      <c r="AR5" s="442"/>
      <c r="AS5" s="442"/>
      <c r="AT5" s="442"/>
      <c r="AU5" s="442"/>
      <c r="AV5" s="442"/>
      <c r="AW5" s="442"/>
      <c r="AX5" s="442"/>
      <c r="AY5" s="442"/>
      <c r="AZ5" s="442"/>
      <c r="BA5" s="442"/>
      <c r="BB5" s="442"/>
      <c r="BC5" s="442"/>
      <c r="BD5" s="442"/>
      <c r="BE5" s="442"/>
      <c r="BF5" s="442"/>
      <c r="BG5" s="442"/>
      <c r="BH5" s="442"/>
    </row>
    <row r="6" spans="2:60" s="160" customFormat="1" ht="32.4" customHeight="1" x14ac:dyDescent="0.25">
      <c r="B6" s="705"/>
      <c r="C6" s="708"/>
      <c r="D6" s="274"/>
      <c r="E6" s="274"/>
      <c r="F6" s="274"/>
      <c r="G6" s="274"/>
      <c r="H6" s="195"/>
      <c r="I6" s="710"/>
      <c r="J6" s="711"/>
      <c r="K6" s="218"/>
      <c r="L6" s="337"/>
      <c r="M6" s="338">
        <f t="shared" si="0"/>
        <v>0</v>
      </c>
      <c r="N6" s="170">
        <f>IF($D$5="SI",40%,IF('PAS PACCHETTO 1 anagraf'!$E$60="RISULTA",50%,40%))</f>
        <v>0.5</v>
      </c>
      <c r="O6" s="219">
        <f t="shared" ref="O6:O7" si="1">IF($D$5="si",,COUNTA($E$5:$H$5)*10%)</f>
        <v>0.1</v>
      </c>
      <c r="P6" s="161">
        <f t="shared" ref="P6:P34" si="2">+M6*(N6+O6)</f>
        <v>0</v>
      </c>
      <c r="R6" s="451" t="str">
        <f t="shared" ref="R6:R34" si="3">IF(M6&gt;L6,"ERRORE, SUPERATO IL MAX"," ")</f>
        <v xml:space="preserve"> </v>
      </c>
      <c r="V6" s="444">
        <f>+M5+M6+M8+M9+M11+M12+M14+M15+M17+M18+M26+M27+M30+M31+M33</f>
        <v>0</v>
      </c>
      <c r="W6" s="444">
        <f>+P5+P6+P8+P9+P11+P12+P14+P15+P17+P18+P26+P27+P30+P31+P33</f>
        <v>0</v>
      </c>
      <c r="X6" s="444">
        <f>+V6-W6</f>
        <v>0</v>
      </c>
      <c r="Y6" s="442"/>
      <c r="Z6" s="442"/>
      <c r="AA6" s="442"/>
      <c r="AB6" s="442"/>
      <c r="AC6" s="442"/>
      <c r="AD6" s="442"/>
      <c r="AE6" s="442"/>
      <c r="AF6" s="442"/>
      <c r="AG6" s="442"/>
      <c r="AH6" s="442"/>
      <c r="AI6" s="442"/>
      <c r="AJ6" s="442"/>
      <c r="AK6" s="442"/>
      <c r="AL6" s="442"/>
      <c r="AM6" s="442"/>
      <c r="AN6" s="442"/>
      <c r="AO6" s="442"/>
      <c r="AP6" s="442"/>
      <c r="AQ6" s="442"/>
      <c r="AR6" s="442"/>
      <c r="AS6" s="442"/>
      <c r="AT6" s="442"/>
      <c r="AU6" s="442"/>
      <c r="AV6" s="442"/>
      <c r="AW6" s="442"/>
      <c r="AX6" s="442"/>
      <c r="AY6" s="442"/>
      <c r="AZ6" s="442"/>
      <c r="BA6" s="442"/>
      <c r="BB6" s="442"/>
      <c r="BC6" s="442"/>
      <c r="BD6" s="442"/>
      <c r="BE6" s="442"/>
      <c r="BF6" s="442"/>
      <c r="BG6" s="442"/>
      <c r="BH6" s="442"/>
    </row>
    <row r="7" spans="2:60" ht="32.4" customHeight="1" x14ac:dyDescent="0.25">
      <c r="B7" s="706"/>
      <c r="C7" s="709"/>
      <c r="D7" s="275"/>
      <c r="E7" s="275"/>
      <c r="F7" s="275"/>
      <c r="G7" s="275"/>
      <c r="H7" s="196"/>
      <c r="I7" s="710"/>
      <c r="J7" s="711"/>
      <c r="K7" s="209" t="s">
        <v>433</v>
      </c>
      <c r="L7" s="337"/>
      <c r="M7" s="338">
        <f t="shared" si="0"/>
        <v>0</v>
      </c>
      <c r="N7" s="170">
        <f>IF($D$5="SI",40%,IF('PAS PACCHETTO 1 anagraf'!$E$60="RISULTA",50%,40%))</f>
        <v>0.5</v>
      </c>
      <c r="O7" s="219">
        <f t="shared" si="1"/>
        <v>0.1</v>
      </c>
      <c r="P7" s="161">
        <f t="shared" si="2"/>
        <v>0</v>
      </c>
      <c r="R7" s="451" t="str">
        <f t="shared" si="3"/>
        <v xml:space="preserve"> </v>
      </c>
      <c r="U7" s="441" t="s">
        <v>865</v>
      </c>
      <c r="V7" s="444">
        <f>+M42+M44+M46+M48+M50+M54+M57</f>
        <v>0</v>
      </c>
      <c r="W7" s="444">
        <f>+P42+P44+P46+P48+P50+P54+P58</f>
        <v>0</v>
      </c>
      <c r="X7" s="444">
        <f>+V7-W7</f>
        <v>0</v>
      </c>
      <c r="Y7" s="444">
        <f>+X7+X6</f>
        <v>0</v>
      </c>
    </row>
    <row r="8" spans="2:60" ht="32.4" customHeight="1" x14ac:dyDescent="0.25">
      <c r="B8" s="704">
        <v>2</v>
      </c>
      <c r="C8" s="707" t="s">
        <v>883</v>
      </c>
      <c r="D8" s="273"/>
      <c r="E8" s="392" t="s">
        <v>1183</v>
      </c>
      <c r="F8" s="273"/>
      <c r="G8" s="273"/>
      <c r="H8" s="273"/>
      <c r="I8" s="710"/>
      <c r="J8" s="711"/>
      <c r="K8" s="218"/>
      <c r="L8" s="337"/>
      <c r="M8" s="338">
        <f t="shared" si="0"/>
        <v>0</v>
      </c>
      <c r="N8" s="170">
        <f>IF($D$8="SI",40%,IF('PAS PACCHETTO 1 anagraf'!$E$60="RISULTA",50%,40%))</f>
        <v>0.5</v>
      </c>
      <c r="O8" s="219">
        <f>IF($D$8="si",,COUNTA($E$8:$H$8)*10%)</f>
        <v>0.1</v>
      </c>
      <c r="P8" s="161">
        <f t="shared" si="2"/>
        <v>0</v>
      </c>
      <c r="R8" s="451" t="str">
        <f t="shared" si="3"/>
        <v xml:space="preserve"> </v>
      </c>
      <c r="V8" s="442" t="s">
        <v>864</v>
      </c>
      <c r="W8" s="442"/>
      <c r="X8" s="442"/>
      <c r="Y8" s="442"/>
    </row>
    <row r="9" spans="2:60" ht="32.4" customHeight="1" x14ac:dyDescent="0.25">
      <c r="B9" s="705"/>
      <c r="C9" s="708"/>
      <c r="D9" s="274"/>
      <c r="E9" s="274"/>
      <c r="F9" s="274"/>
      <c r="G9" s="274"/>
      <c r="H9" s="195"/>
      <c r="I9" s="710"/>
      <c r="J9" s="711"/>
      <c r="K9" s="218"/>
      <c r="L9" s="337"/>
      <c r="M9" s="338">
        <f t="shared" si="0"/>
        <v>0</v>
      </c>
      <c r="N9" s="170">
        <f>IF($D$8="SI",40%,IF('PAS PACCHETTO 1 anagraf'!$E$60="RISULTA",50%,40%))</f>
        <v>0.5</v>
      </c>
      <c r="O9" s="219">
        <f t="shared" ref="O9:O10" si="4">IF($D$8="si",,COUNTA($E$8:$H$8)*10%)</f>
        <v>0.1</v>
      </c>
      <c r="P9" s="161">
        <f t="shared" si="2"/>
        <v>0</v>
      </c>
      <c r="R9" s="451" t="str">
        <f t="shared" si="3"/>
        <v xml:space="preserve"> </v>
      </c>
      <c r="V9" s="444">
        <f>+M7+M10+M13+M16+M19+M20+M21+M22+M23+M24+M25+M28+M29+M32+M34</f>
        <v>0</v>
      </c>
      <c r="W9" s="444">
        <f>+P7+P10+P13+P16+P19+P20+P21+P22+P23+P24+P25+P28+P29+P32+P34</f>
        <v>0</v>
      </c>
      <c r="X9" s="444">
        <f>+V9-W9</f>
        <v>0</v>
      </c>
      <c r="Y9" s="442"/>
    </row>
    <row r="10" spans="2:60" ht="32.4" customHeight="1" x14ac:dyDescent="0.25">
      <c r="B10" s="706"/>
      <c r="C10" s="709"/>
      <c r="D10" s="275"/>
      <c r="E10" s="275"/>
      <c r="F10" s="275"/>
      <c r="G10" s="275"/>
      <c r="H10" s="196"/>
      <c r="I10" s="710"/>
      <c r="J10" s="711"/>
      <c r="K10" s="209" t="s">
        <v>433</v>
      </c>
      <c r="L10" s="337"/>
      <c r="M10" s="338">
        <f t="shared" si="0"/>
        <v>0</v>
      </c>
      <c r="N10" s="170">
        <f>IF($D$8="SI",40%,IF('PAS PACCHETTO 1 anagraf'!$E$60="RISULTA",50%,40%))</f>
        <v>0.5</v>
      </c>
      <c r="O10" s="219">
        <f t="shared" si="4"/>
        <v>0.1</v>
      </c>
      <c r="P10" s="161">
        <f t="shared" si="2"/>
        <v>0</v>
      </c>
      <c r="R10" s="451" t="str">
        <f t="shared" si="3"/>
        <v xml:space="preserve"> </v>
      </c>
      <c r="U10" s="441" t="s">
        <v>865</v>
      </c>
      <c r="V10" s="444">
        <f>+M43+M45+M47+M49+M52+M53+M55+M56+M58+M59+M51</f>
        <v>0</v>
      </c>
      <c r="W10" s="444">
        <f>+P43+P45+P47+P49+P51+P53+P55+P56+P58+P59+P52</f>
        <v>0</v>
      </c>
      <c r="X10" s="444">
        <f>+V10-W10</f>
        <v>0</v>
      </c>
      <c r="Y10" s="444">
        <f>+X10+X9</f>
        <v>0</v>
      </c>
    </row>
    <row r="11" spans="2:60" ht="32.4" customHeight="1" x14ac:dyDescent="0.25">
      <c r="B11" s="704">
        <v>3</v>
      </c>
      <c r="C11" s="707" t="s">
        <v>873</v>
      </c>
      <c r="D11" s="273"/>
      <c r="E11" s="392" t="s">
        <v>1183</v>
      </c>
      <c r="F11" s="273"/>
      <c r="G11" s="273"/>
      <c r="H11" s="273"/>
      <c r="I11" s="710"/>
      <c r="J11" s="711"/>
      <c r="K11" s="218"/>
      <c r="L11" s="337"/>
      <c r="M11" s="338">
        <f t="shared" si="0"/>
        <v>0</v>
      </c>
      <c r="N11" s="170">
        <f>IF($D$11="SI",40%,IF('PAS PACCHETTO 1 anagraf'!$E$60="RISULTA",50%,40%))</f>
        <v>0.5</v>
      </c>
      <c r="O11" s="219">
        <f>IF($D$11="si",,COUNTA($E$11:$H$11)*10%)</f>
        <v>0.1</v>
      </c>
      <c r="P11" s="161">
        <f t="shared" si="2"/>
        <v>0</v>
      </c>
      <c r="R11" s="451" t="str">
        <f t="shared" si="3"/>
        <v xml:space="preserve"> </v>
      </c>
    </row>
    <row r="12" spans="2:60" ht="32.4" customHeight="1" x14ac:dyDescent="0.25">
      <c r="B12" s="705"/>
      <c r="C12" s="708"/>
      <c r="D12" s="274"/>
      <c r="E12" s="274"/>
      <c r="F12" s="274"/>
      <c r="G12" s="274"/>
      <c r="H12" s="195"/>
      <c r="I12" s="710"/>
      <c r="J12" s="711"/>
      <c r="K12" s="218"/>
      <c r="L12" s="337"/>
      <c r="M12" s="338">
        <f t="shared" si="0"/>
        <v>0</v>
      </c>
      <c r="N12" s="170">
        <f>IF($D$11="SI",40%,IF('PAS PACCHETTO 1 anagraf'!$E$60="RISULTA",50%,40%))</f>
        <v>0.5</v>
      </c>
      <c r="O12" s="219">
        <f t="shared" ref="O12:O13" si="5">IF($D$11="si",,COUNTA($E$11:$H$11)*10%)</f>
        <v>0.1</v>
      </c>
      <c r="P12" s="161">
        <f t="shared" si="2"/>
        <v>0</v>
      </c>
      <c r="R12" s="451" t="str">
        <f t="shared" si="3"/>
        <v xml:space="preserve"> </v>
      </c>
      <c r="V12" s="445">
        <f>+V9+V6</f>
        <v>0</v>
      </c>
      <c r="W12" s="445">
        <f>+W9+W6</f>
        <v>0</v>
      </c>
    </row>
    <row r="13" spans="2:60" ht="32.4" customHeight="1" x14ac:dyDescent="0.25">
      <c r="B13" s="706"/>
      <c r="C13" s="709"/>
      <c r="D13" s="275"/>
      <c r="E13" s="275"/>
      <c r="F13" s="275"/>
      <c r="G13" s="275"/>
      <c r="H13" s="196"/>
      <c r="I13" s="710"/>
      <c r="J13" s="711"/>
      <c r="K13" s="209" t="s">
        <v>433</v>
      </c>
      <c r="L13" s="337"/>
      <c r="M13" s="338">
        <f t="shared" si="0"/>
        <v>0</v>
      </c>
      <c r="N13" s="170">
        <f>IF($D$11="SI",40%,IF('PAS PACCHETTO 1 anagraf'!$E$60="RISULTA",50%,40%))</f>
        <v>0.5</v>
      </c>
      <c r="O13" s="219">
        <f t="shared" si="5"/>
        <v>0.1</v>
      </c>
      <c r="P13" s="161">
        <f>+M13*(N13+O13)</f>
        <v>0</v>
      </c>
      <c r="R13" s="451" t="str">
        <f t="shared" si="3"/>
        <v xml:space="preserve"> </v>
      </c>
      <c r="V13" s="445">
        <f>+V10+V7</f>
        <v>0</v>
      </c>
      <c r="W13" s="445">
        <f>+W10+W7</f>
        <v>0</v>
      </c>
    </row>
    <row r="14" spans="2:60" ht="32.4" customHeight="1" x14ac:dyDescent="0.25">
      <c r="B14" s="704">
        <v>4</v>
      </c>
      <c r="C14" s="707" t="s">
        <v>874</v>
      </c>
      <c r="D14" s="273"/>
      <c r="E14" s="392" t="s">
        <v>1183</v>
      </c>
      <c r="F14" s="273"/>
      <c r="G14" s="273"/>
      <c r="H14" s="273"/>
      <c r="I14" s="710"/>
      <c r="J14" s="711"/>
      <c r="K14" s="218"/>
      <c r="L14" s="337"/>
      <c r="M14" s="338">
        <f t="shared" si="0"/>
        <v>0</v>
      </c>
      <c r="N14" s="170">
        <f>IF($D$14="SI",40%,IF('PAS PACCHETTO 1 anagraf'!$E$60="RISULTA",50%,40%))</f>
        <v>0.5</v>
      </c>
      <c r="O14" s="219">
        <f>IF($D$14="si",,COUNTA($E$14:$H$14)*10%)</f>
        <v>0.1</v>
      </c>
      <c r="P14" s="161">
        <f t="shared" si="2"/>
        <v>0</v>
      </c>
      <c r="R14" s="451" t="str">
        <f t="shared" si="3"/>
        <v xml:space="preserve"> </v>
      </c>
    </row>
    <row r="15" spans="2:60" ht="32.4" customHeight="1" x14ac:dyDescent="0.25">
      <c r="B15" s="705"/>
      <c r="C15" s="708"/>
      <c r="D15" s="274"/>
      <c r="E15" s="274"/>
      <c r="F15" s="274"/>
      <c r="G15" s="274"/>
      <c r="H15" s="195"/>
      <c r="I15" s="710"/>
      <c r="J15" s="711"/>
      <c r="K15" s="218"/>
      <c r="L15" s="337"/>
      <c r="M15" s="338">
        <f t="shared" si="0"/>
        <v>0</v>
      </c>
      <c r="N15" s="170">
        <f>IF($D$14="SI",40%,IF('PAS PACCHETTO 1 anagraf'!$E$60="RISULTA",50%,40%))</f>
        <v>0.5</v>
      </c>
      <c r="O15" s="219">
        <f t="shared" ref="O15:O16" si="6">IF($D$14="si",,COUNTA($E$14:$H$14)*10%)</f>
        <v>0.1</v>
      </c>
      <c r="P15" s="161">
        <f t="shared" si="2"/>
        <v>0</v>
      </c>
      <c r="R15" s="451" t="str">
        <f t="shared" si="3"/>
        <v xml:space="preserve"> </v>
      </c>
    </row>
    <row r="16" spans="2:60" ht="32.4" customHeight="1" x14ac:dyDescent="0.25">
      <c r="B16" s="706"/>
      <c r="C16" s="709"/>
      <c r="D16" s="275"/>
      <c r="E16" s="275"/>
      <c r="F16" s="275"/>
      <c r="G16" s="275"/>
      <c r="H16" s="196"/>
      <c r="I16" s="710"/>
      <c r="J16" s="711"/>
      <c r="K16" s="209" t="s">
        <v>433</v>
      </c>
      <c r="L16" s="337"/>
      <c r="M16" s="338">
        <f t="shared" si="0"/>
        <v>0</v>
      </c>
      <c r="N16" s="170">
        <f>IF($D$14="SI",40%,IF('PAS PACCHETTO 1 anagraf'!$E$60="RISULTA",50%,40%))</f>
        <v>0.5</v>
      </c>
      <c r="O16" s="219">
        <f t="shared" si="6"/>
        <v>0.1</v>
      </c>
      <c r="P16" s="161">
        <f t="shared" si="2"/>
        <v>0</v>
      </c>
      <c r="R16" s="451" t="str">
        <f t="shared" si="3"/>
        <v xml:space="preserve"> </v>
      </c>
    </row>
    <row r="17" spans="2:18" ht="32.4" customHeight="1" x14ac:dyDescent="0.25">
      <c r="B17" s="704">
        <v>5</v>
      </c>
      <c r="C17" s="707" t="s">
        <v>879</v>
      </c>
      <c r="D17" s="273"/>
      <c r="E17" s="392" t="s">
        <v>1183</v>
      </c>
      <c r="F17" s="273"/>
      <c r="G17" s="273"/>
      <c r="H17" s="273"/>
      <c r="I17" s="710"/>
      <c r="J17" s="711"/>
      <c r="K17" s="218"/>
      <c r="L17" s="337"/>
      <c r="M17" s="338">
        <f t="shared" si="0"/>
        <v>0</v>
      </c>
      <c r="N17" s="170">
        <f>IF($D$17="SI",40%,IF('PAS PACCHETTO 1 anagraf'!$E$60="RISULTA",50%,40%))</f>
        <v>0.5</v>
      </c>
      <c r="O17" s="219">
        <f>IF($D$17="si",,COUNTA($E$17:$H$17)*10%)</f>
        <v>0.1</v>
      </c>
      <c r="P17" s="161">
        <f t="shared" si="2"/>
        <v>0</v>
      </c>
      <c r="R17" s="451" t="str">
        <f t="shared" si="3"/>
        <v xml:space="preserve"> </v>
      </c>
    </row>
    <row r="18" spans="2:18" ht="32.4" customHeight="1" x14ac:dyDescent="0.25">
      <c r="B18" s="705"/>
      <c r="C18" s="708"/>
      <c r="D18" s="274"/>
      <c r="E18" s="274"/>
      <c r="F18" s="274"/>
      <c r="G18" s="274"/>
      <c r="H18" s="195"/>
      <c r="I18" s="710"/>
      <c r="J18" s="711"/>
      <c r="K18" s="218"/>
      <c r="L18" s="337"/>
      <c r="M18" s="338">
        <f t="shared" si="0"/>
        <v>0</v>
      </c>
      <c r="N18" s="170">
        <f>IF($D$17="SI",40%,IF('PAS PACCHETTO 1 anagraf'!$E$60="RISULTA",50%,40%))</f>
        <v>0.5</v>
      </c>
      <c r="O18" s="219">
        <f t="shared" ref="O18:O19" si="7">IF($D$17="si",,COUNTA($E$17:$H$17)*10%)</f>
        <v>0.1</v>
      </c>
      <c r="P18" s="161">
        <f t="shared" si="2"/>
        <v>0</v>
      </c>
      <c r="R18" s="451" t="str">
        <f t="shared" si="3"/>
        <v xml:space="preserve"> </v>
      </c>
    </row>
    <row r="19" spans="2:18" ht="32.4" customHeight="1" x14ac:dyDescent="0.25">
      <c r="B19" s="706"/>
      <c r="C19" s="709"/>
      <c r="D19" s="275"/>
      <c r="E19" s="275"/>
      <c r="F19" s="275"/>
      <c r="G19" s="275"/>
      <c r="H19" s="196"/>
      <c r="I19" s="710"/>
      <c r="J19" s="711"/>
      <c r="K19" s="209" t="s">
        <v>433</v>
      </c>
      <c r="L19" s="337"/>
      <c r="M19" s="338">
        <f t="shared" si="0"/>
        <v>0</v>
      </c>
      <c r="N19" s="170">
        <f>IF($D$17="SI",40%,IF('PAS PACCHETTO 1 anagraf'!$E$60="RISULTA",50%,40%))</f>
        <v>0.5</v>
      </c>
      <c r="O19" s="219">
        <f t="shared" si="7"/>
        <v>0.1</v>
      </c>
      <c r="P19" s="161">
        <f t="shared" si="2"/>
        <v>0</v>
      </c>
      <c r="R19" s="451" t="str">
        <f t="shared" si="3"/>
        <v xml:space="preserve"> </v>
      </c>
    </row>
    <row r="20" spans="2:18" ht="32.4" customHeight="1" x14ac:dyDescent="0.25">
      <c r="B20" s="704">
        <v>6</v>
      </c>
      <c r="C20" s="707" t="s">
        <v>875</v>
      </c>
      <c r="D20" s="273"/>
      <c r="E20" s="392" t="s">
        <v>1183</v>
      </c>
      <c r="F20" s="273"/>
      <c r="G20" s="273"/>
      <c r="H20" s="273"/>
      <c r="I20" s="710"/>
      <c r="J20" s="711"/>
      <c r="K20" s="701" t="s">
        <v>433</v>
      </c>
      <c r="L20" s="337"/>
      <c r="M20" s="338">
        <f t="shared" si="0"/>
        <v>0</v>
      </c>
      <c r="N20" s="170">
        <f>IF($D$20="SI",40%,IF('PAS PACCHETTO 1 anagraf'!$E$60="RISULTA",50%,40%))</f>
        <v>0.5</v>
      </c>
      <c r="O20" s="219">
        <f>IF($D$20="si",,COUNTA($E$20:$H$20)*10%)</f>
        <v>0.1</v>
      </c>
      <c r="P20" s="161">
        <f>+M20*(N20+O20)</f>
        <v>0</v>
      </c>
      <c r="R20" s="451" t="str">
        <f t="shared" si="3"/>
        <v xml:space="preserve"> </v>
      </c>
    </row>
    <row r="21" spans="2:18" ht="32.4" customHeight="1" x14ac:dyDescent="0.25">
      <c r="B21" s="705"/>
      <c r="C21" s="708"/>
      <c r="D21" s="274"/>
      <c r="E21" s="274"/>
      <c r="F21" s="274"/>
      <c r="G21" s="274"/>
      <c r="H21" s="195"/>
      <c r="I21" s="710"/>
      <c r="J21" s="711"/>
      <c r="K21" s="702"/>
      <c r="L21" s="337"/>
      <c r="M21" s="338">
        <f t="shared" si="0"/>
        <v>0</v>
      </c>
      <c r="N21" s="170">
        <f>IF($D$20="SI",40%,IF('PAS PACCHETTO 1 anagraf'!$E$60="RISULTA",50%,40%))</f>
        <v>0.5</v>
      </c>
      <c r="O21" s="219">
        <f t="shared" ref="O21:O22" si="8">IF($D$20="si",,COUNTA($E$20:$H$20)*10%)</f>
        <v>0.1</v>
      </c>
      <c r="P21" s="161">
        <f t="shared" si="2"/>
        <v>0</v>
      </c>
      <c r="R21" s="451" t="str">
        <f t="shared" si="3"/>
        <v xml:space="preserve"> </v>
      </c>
    </row>
    <row r="22" spans="2:18" ht="32.4" customHeight="1" x14ac:dyDescent="0.25">
      <c r="B22" s="706"/>
      <c r="C22" s="709"/>
      <c r="D22" s="275"/>
      <c r="E22" s="275"/>
      <c r="F22" s="275"/>
      <c r="G22" s="275"/>
      <c r="H22" s="196"/>
      <c r="I22" s="710"/>
      <c r="J22" s="711"/>
      <c r="K22" s="703"/>
      <c r="L22" s="337"/>
      <c r="M22" s="338">
        <f t="shared" si="0"/>
        <v>0</v>
      </c>
      <c r="N22" s="170">
        <f>IF($D$20="SI",40%,IF('PAS PACCHETTO 1 anagraf'!$E$60="RISULTA",50%,40%))</f>
        <v>0.5</v>
      </c>
      <c r="O22" s="219">
        <f t="shared" si="8"/>
        <v>0.1</v>
      </c>
      <c r="P22" s="161">
        <f t="shared" si="2"/>
        <v>0</v>
      </c>
      <c r="R22" s="451" t="str">
        <f t="shared" si="3"/>
        <v xml:space="preserve"> </v>
      </c>
    </row>
    <row r="23" spans="2:18" ht="32.4" customHeight="1" x14ac:dyDescent="0.25">
      <c r="B23" s="704">
        <v>7</v>
      </c>
      <c r="C23" s="707" t="s">
        <v>876</v>
      </c>
      <c r="D23" s="273"/>
      <c r="E23" s="392" t="s">
        <v>1183</v>
      </c>
      <c r="F23" s="273"/>
      <c r="G23" s="273"/>
      <c r="H23" s="273"/>
      <c r="I23" s="710"/>
      <c r="J23" s="711"/>
      <c r="K23" s="701" t="s">
        <v>433</v>
      </c>
      <c r="L23" s="337"/>
      <c r="M23" s="338">
        <f t="shared" si="0"/>
        <v>0</v>
      </c>
      <c r="N23" s="170">
        <f>IF($D$23="SI",40%,IF('PAS PACCHETTO 1 anagraf'!$E$60="RISULTA",50%,40%))</f>
        <v>0.5</v>
      </c>
      <c r="O23" s="219">
        <f>IF($D$23="si",,COUNTA($E$23:$H$23)*10%)</f>
        <v>0.1</v>
      </c>
      <c r="P23" s="161">
        <f t="shared" si="2"/>
        <v>0</v>
      </c>
      <c r="R23" s="451" t="str">
        <f t="shared" si="3"/>
        <v xml:space="preserve"> </v>
      </c>
    </row>
    <row r="24" spans="2:18" ht="32.4" customHeight="1" x14ac:dyDescent="0.25">
      <c r="B24" s="705"/>
      <c r="C24" s="708"/>
      <c r="D24" s="274"/>
      <c r="E24" s="274"/>
      <c r="F24" s="274"/>
      <c r="G24" s="274"/>
      <c r="H24" s="195"/>
      <c r="I24" s="710"/>
      <c r="J24" s="711"/>
      <c r="K24" s="702"/>
      <c r="L24" s="337"/>
      <c r="M24" s="338">
        <f t="shared" si="0"/>
        <v>0</v>
      </c>
      <c r="N24" s="170">
        <f>IF($D$23="SI",40%,IF('PAS PACCHETTO 1 anagraf'!$E$60="RISULTA",50%,40%))</f>
        <v>0.5</v>
      </c>
      <c r="O24" s="219">
        <f t="shared" ref="O24:O25" si="9">IF($D$23="si",,COUNTA($E$23:$H$23)*10%)</f>
        <v>0.1</v>
      </c>
      <c r="P24" s="161">
        <f t="shared" si="2"/>
        <v>0</v>
      </c>
      <c r="R24" s="451" t="str">
        <f t="shared" si="3"/>
        <v xml:space="preserve"> </v>
      </c>
    </row>
    <row r="25" spans="2:18" ht="32.4" customHeight="1" x14ac:dyDescent="0.25">
      <c r="B25" s="706"/>
      <c r="C25" s="709"/>
      <c r="D25" s="275"/>
      <c r="E25" s="275"/>
      <c r="F25" s="275"/>
      <c r="G25" s="275"/>
      <c r="H25" s="196"/>
      <c r="I25" s="710"/>
      <c r="J25" s="711"/>
      <c r="K25" s="703"/>
      <c r="L25" s="337"/>
      <c r="M25" s="338">
        <f t="shared" si="0"/>
        <v>0</v>
      </c>
      <c r="N25" s="170">
        <f>IF($D$23="SI",40%,IF('PAS PACCHETTO 1 anagraf'!$E$60="RISULTA",50%,40%))</f>
        <v>0.5</v>
      </c>
      <c r="O25" s="219">
        <f t="shared" si="9"/>
        <v>0.1</v>
      </c>
      <c r="P25" s="161">
        <f t="shared" si="2"/>
        <v>0</v>
      </c>
      <c r="R25" s="451" t="str">
        <f t="shared" si="3"/>
        <v xml:space="preserve"> </v>
      </c>
    </row>
    <row r="26" spans="2:18" ht="32.4" customHeight="1" x14ac:dyDescent="0.25">
      <c r="B26" s="704">
        <v>8</v>
      </c>
      <c r="C26" s="707" t="s">
        <v>927</v>
      </c>
      <c r="D26" s="273"/>
      <c r="E26" s="392" t="s">
        <v>1183</v>
      </c>
      <c r="F26" s="273"/>
      <c r="G26" s="273"/>
      <c r="H26" s="273"/>
      <c r="I26" s="710"/>
      <c r="J26" s="711"/>
      <c r="K26" s="218"/>
      <c r="L26" s="337"/>
      <c r="M26" s="338">
        <f t="shared" si="0"/>
        <v>0</v>
      </c>
      <c r="N26" s="170">
        <f>IF($D$26="SI",40%,IF('PAS PACCHETTO 1 anagraf'!$E$60="RISULTA",50%,40%))</f>
        <v>0.5</v>
      </c>
      <c r="O26" s="219">
        <f>IF($D$26="si",,COUNTA($E$26:$H$26)*10%)</f>
        <v>0.1</v>
      </c>
      <c r="P26" s="161">
        <f t="shared" si="2"/>
        <v>0</v>
      </c>
      <c r="R26" s="451" t="str">
        <f t="shared" si="3"/>
        <v xml:space="preserve"> </v>
      </c>
    </row>
    <row r="27" spans="2:18" ht="32.4" customHeight="1" x14ac:dyDescent="0.25">
      <c r="B27" s="705"/>
      <c r="C27" s="708"/>
      <c r="D27" s="699"/>
      <c r="E27" s="699"/>
      <c r="F27" s="699"/>
      <c r="G27" s="699"/>
      <c r="H27" s="699"/>
      <c r="I27" s="710"/>
      <c r="J27" s="711"/>
      <c r="K27" s="218"/>
      <c r="L27" s="337"/>
      <c r="M27" s="338">
        <f t="shared" si="0"/>
        <v>0</v>
      </c>
      <c r="N27" s="170">
        <f>IF($D$26="SI",40%,IF('PAS PACCHETTO 1 anagraf'!$E$60="RISULTA",50%,40%))</f>
        <v>0.5</v>
      </c>
      <c r="O27" s="219">
        <f t="shared" ref="O27:O28" si="10">IF($D$26="si",,COUNTA($E$26:$H$26)*10%)</f>
        <v>0.1</v>
      </c>
      <c r="P27" s="161">
        <f t="shared" si="2"/>
        <v>0</v>
      </c>
      <c r="R27" s="451" t="str">
        <f t="shared" si="3"/>
        <v xml:space="preserve"> </v>
      </c>
    </row>
    <row r="28" spans="2:18" ht="32.4" customHeight="1" x14ac:dyDescent="0.25">
      <c r="B28" s="706"/>
      <c r="C28" s="709"/>
      <c r="D28" s="700"/>
      <c r="E28" s="700"/>
      <c r="F28" s="700"/>
      <c r="G28" s="700"/>
      <c r="H28" s="700"/>
      <c r="I28" s="710"/>
      <c r="J28" s="711"/>
      <c r="K28" s="303" t="s">
        <v>433</v>
      </c>
      <c r="L28" s="337"/>
      <c r="M28" s="338">
        <f t="shared" si="0"/>
        <v>0</v>
      </c>
      <c r="N28" s="170">
        <f>IF($D$26="SI",40%,IF('PAS PACCHETTO 1 anagraf'!$E$60="RISULTA",50%,40%))</f>
        <v>0.5</v>
      </c>
      <c r="O28" s="219">
        <f t="shared" si="10"/>
        <v>0.1</v>
      </c>
      <c r="P28" s="161">
        <f t="shared" si="2"/>
        <v>0</v>
      </c>
      <c r="R28" s="451" t="str">
        <f t="shared" si="3"/>
        <v xml:space="preserve"> </v>
      </c>
    </row>
    <row r="29" spans="2:18" ht="39.6" customHeight="1" x14ac:dyDescent="0.25">
      <c r="B29" s="329">
        <v>9</v>
      </c>
      <c r="C29" s="351" t="s">
        <v>959</v>
      </c>
      <c r="D29" s="273"/>
      <c r="E29" s="392" t="s">
        <v>1183</v>
      </c>
      <c r="F29" s="273"/>
      <c r="G29" s="273"/>
      <c r="H29" s="273"/>
      <c r="I29" s="710"/>
      <c r="J29" s="711"/>
      <c r="K29" s="330" t="s">
        <v>433</v>
      </c>
      <c r="L29" s="337"/>
      <c r="M29" s="338">
        <f t="shared" si="0"/>
        <v>0</v>
      </c>
      <c r="N29" s="331">
        <f>IF($D$26="SI",40%,IF('PAS PACCHETTO 1 anagraf'!$E$60="RISULTA",50%,40%))</f>
        <v>0.5</v>
      </c>
      <c r="O29" s="304">
        <f>IF($D$29="si",,COUNTA($E$29:$H$29)*10%)</f>
        <v>0.1</v>
      </c>
      <c r="P29" s="332">
        <f t="shared" si="2"/>
        <v>0</v>
      </c>
      <c r="R29" s="451" t="str">
        <f t="shared" si="3"/>
        <v xml:space="preserve"> </v>
      </c>
    </row>
    <row r="30" spans="2:18" ht="31.95" customHeight="1" x14ac:dyDescent="0.25">
      <c r="B30" s="704">
        <v>10</v>
      </c>
      <c r="C30" s="713" t="s">
        <v>877</v>
      </c>
      <c r="D30" s="273"/>
      <c r="E30" s="392" t="s">
        <v>1183</v>
      </c>
      <c r="F30" s="273"/>
      <c r="G30" s="273"/>
      <c r="H30" s="273"/>
      <c r="I30" s="710"/>
      <c r="J30" s="711"/>
      <c r="K30" s="218"/>
      <c r="L30" s="337"/>
      <c r="M30" s="338">
        <f t="shared" si="0"/>
        <v>0</v>
      </c>
      <c r="N30" s="170">
        <f>IF($D$30="SI",40%,IF('PAS PACCHETTO 1 anagraf'!$E$60="RISULTA",50%,40%))</f>
        <v>0.5</v>
      </c>
      <c r="O30" s="304">
        <f>IF($D$30="si",,COUNTA($E$30:$H$30)*10%)</f>
        <v>0.1</v>
      </c>
      <c r="P30" s="161">
        <f t="shared" si="2"/>
        <v>0</v>
      </c>
      <c r="R30" s="451" t="str">
        <f t="shared" si="3"/>
        <v xml:space="preserve"> </v>
      </c>
    </row>
    <row r="31" spans="2:18" ht="31.95" customHeight="1" x14ac:dyDescent="0.25">
      <c r="B31" s="705"/>
      <c r="C31" s="714"/>
      <c r="D31" s="699"/>
      <c r="E31" s="699"/>
      <c r="F31" s="699"/>
      <c r="G31" s="699"/>
      <c r="H31" s="699"/>
      <c r="I31" s="710"/>
      <c r="J31" s="711"/>
      <c r="K31" s="218"/>
      <c r="L31" s="337"/>
      <c r="M31" s="338">
        <f t="shared" si="0"/>
        <v>0</v>
      </c>
      <c r="N31" s="170">
        <f>IF($D$30="SI",40%,IF('PAS PACCHETTO 1 anagraf'!$E$60="RISULTA",50%,40%))</f>
        <v>0.5</v>
      </c>
      <c r="O31" s="304">
        <f t="shared" ref="O31:O32" si="11">IF($D$30="si",,COUNTA($E$30:$H$30)*10%)</f>
        <v>0.1</v>
      </c>
      <c r="P31" s="161">
        <f t="shared" si="2"/>
        <v>0</v>
      </c>
      <c r="R31" s="451" t="str">
        <f t="shared" si="3"/>
        <v xml:space="preserve"> </v>
      </c>
    </row>
    <row r="32" spans="2:18" ht="31.95" customHeight="1" x14ac:dyDescent="0.25">
      <c r="B32" s="706"/>
      <c r="C32" s="715"/>
      <c r="D32" s="700"/>
      <c r="E32" s="700"/>
      <c r="F32" s="700"/>
      <c r="G32" s="700"/>
      <c r="H32" s="700"/>
      <c r="I32" s="710"/>
      <c r="J32" s="711"/>
      <c r="K32" s="209" t="s">
        <v>433</v>
      </c>
      <c r="L32" s="337"/>
      <c r="M32" s="338">
        <f t="shared" si="0"/>
        <v>0</v>
      </c>
      <c r="N32" s="170">
        <f>IF($D$30="SI",40%,IF('PAS PACCHETTO 1 anagraf'!$E$60="RISULTA",50%,40%))</f>
        <v>0.5</v>
      </c>
      <c r="O32" s="304">
        <f t="shared" si="11"/>
        <v>0.1</v>
      </c>
      <c r="P32" s="161">
        <f t="shared" si="2"/>
        <v>0</v>
      </c>
      <c r="R32" s="451" t="str">
        <f t="shared" si="3"/>
        <v xml:space="preserve"> </v>
      </c>
    </row>
    <row r="33" spans="2:60" ht="34.200000000000003" customHeight="1" x14ac:dyDescent="0.25">
      <c r="B33" s="704">
        <v>11</v>
      </c>
      <c r="C33" s="712" t="s">
        <v>878</v>
      </c>
      <c r="D33" s="273"/>
      <c r="E33" s="392" t="s">
        <v>1183</v>
      </c>
      <c r="F33" s="273"/>
      <c r="G33" s="273"/>
      <c r="H33" s="273"/>
      <c r="I33" s="710"/>
      <c r="J33" s="711"/>
      <c r="K33" s="218"/>
      <c r="L33" s="337"/>
      <c r="M33" s="338">
        <f t="shared" si="0"/>
        <v>0</v>
      </c>
      <c r="N33" s="170">
        <f>IF($D$30="SI",40%,IF('PAS PACCHETTO 1 anagraf'!$E$60="RISULTA",50%,40%))</f>
        <v>0.5</v>
      </c>
      <c r="O33" s="304">
        <f>IF($D$33="si",,COUNTA($E$33:$H$33)*10%)</f>
        <v>0.1</v>
      </c>
      <c r="P33" s="161">
        <f t="shared" si="2"/>
        <v>0</v>
      </c>
      <c r="R33" s="451" t="str">
        <f t="shared" si="3"/>
        <v xml:space="preserve"> </v>
      </c>
    </row>
    <row r="34" spans="2:60" ht="34.200000000000003" customHeight="1" x14ac:dyDescent="0.25">
      <c r="B34" s="706"/>
      <c r="C34" s="712"/>
      <c r="D34" s="299"/>
      <c r="E34" s="299"/>
      <c r="F34" s="299"/>
      <c r="G34" s="299"/>
      <c r="H34" s="299"/>
      <c r="I34" s="710"/>
      <c r="J34" s="711"/>
      <c r="K34" s="209" t="s">
        <v>433</v>
      </c>
      <c r="L34" s="337"/>
      <c r="M34" s="338">
        <f t="shared" si="0"/>
        <v>0</v>
      </c>
      <c r="N34" s="170">
        <f>IF($D$30="SI",40%,IF('PAS PACCHETTO 1 anagraf'!$E$60="RISULTA",50%,40%))</f>
        <v>0.5</v>
      </c>
      <c r="O34" s="219">
        <f>IF($D$33="si",,COUNTA($E$33:$H$33)*10%)</f>
        <v>0.1</v>
      </c>
      <c r="P34" s="161">
        <f t="shared" si="2"/>
        <v>0</v>
      </c>
      <c r="R34" s="451" t="str">
        <f t="shared" si="3"/>
        <v xml:space="preserve"> </v>
      </c>
    </row>
    <row r="35" spans="2:60" ht="18" customHeight="1" x14ac:dyDescent="0.25">
      <c r="B35" s="300"/>
      <c r="C35" s="301"/>
      <c r="D35" s="302"/>
      <c r="E35" s="302"/>
      <c r="F35" s="302"/>
      <c r="G35" s="302"/>
      <c r="H35" s="302"/>
      <c r="I35" s="302"/>
      <c r="K35" s="162"/>
      <c r="L35" s="339"/>
      <c r="M35" s="340"/>
      <c r="N35" s="210"/>
      <c r="O35" s="302"/>
      <c r="P35" s="163"/>
    </row>
    <row r="36" spans="2:60" ht="18" customHeight="1" x14ac:dyDescent="0.25">
      <c r="B36" s="300"/>
      <c r="C36" s="301"/>
      <c r="D36" s="302"/>
      <c r="E36" s="302"/>
      <c r="F36" s="302"/>
      <c r="G36" s="302"/>
      <c r="H36" s="302"/>
      <c r="I36" s="302"/>
      <c r="K36" s="342" t="s">
        <v>949</v>
      </c>
      <c r="L36" s="340">
        <f>SUM(L5:L34)</f>
        <v>0</v>
      </c>
      <c r="M36" s="340"/>
      <c r="N36" s="210"/>
      <c r="O36" s="302"/>
      <c r="P36" s="163"/>
    </row>
    <row r="37" spans="2:60" ht="18" customHeight="1" x14ac:dyDescent="0.25">
      <c r="B37" s="300"/>
      <c r="C37" s="301"/>
      <c r="D37" s="302"/>
      <c r="E37" s="302"/>
      <c r="F37" s="302"/>
      <c r="G37" s="302"/>
      <c r="H37" s="302"/>
      <c r="I37" s="302"/>
      <c r="K37" s="342"/>
      <c r="L37" s="340"/>
      <c r="M37" s="340"/>
      <c r="N37" s="210"/>
      <c r="O37" s="302"/>
      <c r="P37" s="163"/>
    </row>
    <row r="38" spans="2:60" ht="18" customHeight="1" x14ac:dyDescent="0.25">
      <c r="B38" s="300"/>
      <c r="C38" s="301"/>
      <c r="D38" s="302"/>
      <c r="E38" s="302"/>
      <c r="F38" s="302"/>
      <c r="G38" s="302"/>
      <c r="H38" s="302"/>
      <c r="I38" s="302"/>
      <c r="K38" s="342" t="s">
        <v>950</v>
      </c>
      <c r="L38" s="158"/>
      <c r="M38" s="340">
        <f>SUM(M5:M34)</f>
        <v>0</v>
      </c>
      <c r="N38" s="163"/>
      <c r="O38" s="163"/>
      <c r="P38" s="163">
        <f>SUM(P5:P34)</f>
        <v>0</v>
      </c>
      <c r="Q38" s="163"/>
    </row>
    <row r="39" spans="2:60" ht="18" customHeight="1" x14ac:dyDescent="0.25">
      <c r="B39" s="300"/>
      <c r="C39" s="301"/>
      <c r="D39" s="302"/>
      <c r="E39" s="302"/>
      <c r="F39" s="302"/>
      <c r="G39" s="302"/>
      <c r="H39" s="302"/>
      <c r="I39" s="302"/>
      <c r="K39" s="342"/>
      <c r="L39" s="158"/>
      <c r="M39" s="340"/>
      <c r="N39" s="163"/>
      <c r="O39" s="163"/>
      <c r="P39" s="163"/>
      <c r="Q39" s="163"/>
    </row>
    <row r="40" spans="2:60" ht="18" customHeight="1" x14ac:dyDescent="0.25">
      <c r="C40" s="164"/>
      <c r="D40" s="164"/>
      <c r="E40" s="164"/>
      <c r="F40" s="164"/>
      <c r="G40" s="164"/>
      <c r="H40" s="164"/>
      <c r="I40" s="164"/>
      <c r="O40" s="164"/>
    </row>
    <row r="41" spans="2:60" ht="36" x14ac:dyDescent="0.25">
      <c r="B41" s="221" t="s">
        <v>407</v>
      </c>
      <c r="C41" s="221" t="s">
        <v>318</v>
      </c>
      <c r="D41" s="341" t="s">
        <v>453</v>
      </c>
      <c r="E41" s="341" t="s">
        <v>882</v>
      </c>
      <c r="F41" s="341" t="s">
        <v>435</v>
      </c>
      <c r="G41" s="341" t="s">
        <v>880</v>
      </c>
      <c r="H41" s="341" t="s">
        <v>881</v>
      </c>
      <c r="I41" s="367" t="s">
        <v>976</v>
      </c>
      <c r="J41" s="221" t="s">
        <v>412</v>
      </c>
      <c r="K41" s="217" t="s">
        <v>413</v>
      </c>
      <c r="L41" s="217"/>
      <c r="M41" s="217" t="s">
        <v>436</v>
      </c>
      <c r="N41" s="217" t="s">
        <v>411</v>
      </c>
      <c r="O41" s="217" t="s">
        <v>1184</v>
      </c>
      <c r="P41" s="221" t="s">
        <v>437</v>
      </c>
    </row>
    <row r="42" spans="2:60" s="160" customFormat="1" ht="24" customHeight="1" x14ac:dyDescent="0.25">
      <c r="B42" s="721">
        <v>1</v>
      </c>
      <c r="C42" s="220" t="s">
        <v>936</v>
      </c>
      <c r="D42" s="248">
        <f>+$D$5</f>
        <v>0</v>
      </c>
      <c r="E42" s="248" t="str">
        <f>+$E$5</f>
        <v>SI</v>
      </c>
      <c r="F42" s="248">
        <f>+$F$5</f>
        <v>0</v>
      </c>
      <c r="G42" s="248">
        <f>+$G$5</f>
        <v>0</v>
      </c>
      <c r="H42" s="248">
        <f>+$H$5</f>
        <v>0</v>
      </c>
      <c r="I42" s="273"/>
      <c r="J42" s="167">
        <f>+M5+M6</f>
        <v>0</v>
      </c>
      <c r="K42" s="168">
        <f>IF(I42="si",J42*0.08,J42*0.06)</f>
        <v>0</v>
      </c>
      <c r="L42" s="454" t="str">
        <f>IF(M42&gt;K42,"SUPERO MASSIMALE SP TECN"," ")</f>
        <v xml:space="preserve"> </v>
      </c>
      <c r="M42" s="169">
        <f t="shared" ref="M42:M59" si="12">+K42</f>
        <v>0</v>
      </c>
      <c r="N42" s="170">
        <f>IF(D42="si",40%,50%)</f>
        <v>0.5</v>
      </c>
      <c r="O42" s="219">
        <f>+O5</f>
        <v>0.1</v>
      </c>
      <c r="P42" s="161">
        <f t="shared" ref="P42:P58" si="13">+M42*(N42+O42)</f>
        <v>0</v>
      </c>
      <c r="V42" s="442"/>
      <c r="W42" s="442"/>
      <c r="X42" s="442"/>
      <c r="Y42" s="442"/>
      <c r="Z42" s="442"/>
      <c r="AA42" s="442"/>
      <c r="AB42" s="442"/>
      <c r="AC42" s="442"/>
      <c r="AD42" s="442"/>
      <c r="AE42" s="442"/>
      <c r="AF42" s="442"/>
      <c r="AG42" s="442"/>
      <c r="AH42" s="442"/>
      <c r="AI42" s="442"/>
      <c r="AJ42" s="442"/>
      <c r="AK42" s="442"/>
      <c r="AL42" s="442"/>
      <c r="AM42" s="442"/>
      <c r="AN42" s="442"/>
      <c r="AO42" s="442"/>
      <c r="AP42" s="442"/>
      <c r="AQ42" s="442"/>
      <c r="AR42" s="442"/>
      <c r="AS42" s="442"/>
      <c r="AT42" s="442"/>
      <c r="AU42" s="442"/>
      <c r="AV42" s="442"/>
      <c r="AW42" s="442"/>
      <c r="AX42" s="442"/>
      <c r="AY42" s="442"/>
      <c r="AZ42" s="442"/>
      <c r="BA42" s="442"/>
      <c r="BB42" s="442"/>
      <c r="BC42" s="442"/>
      <c r="BD42" s="442"/>
      <c r="BE42" s="442"/>
      <c r="BF42" s="442"/>
      <c r="BG42" s="442"/>
      <c r="BH42" s="442"/>
    </row>
    <row r="43" spans="2:60" s="160" customFormat="1" ht="24" customHeight="1" x14ac:dyDescent="0.25">
      <c r="B43" s="722"/>
      <c r="C43" s="220" t="s">
        <v>937</v>
      </c>
      <c r="D43" s="248">
        <f>+$D$5</f>
        <v>0</v>
      </c>
      <c r="E43" s="248" t="str">
        <f>+$E$5</f>
        <v>SI</v>
      </c>
      <c r="F43" s="248">
        <f>+$F$5</f>
        <v>0</v>
      </c>
      <c r="G43" s="248">
        <f>+$G$5</f>
        <v>0</v>
      </c>
      <c r="H43" s="248">
        <f>+$H$5</f>
        <v>0</v>
      </c>
      <c r="I43" s="392">
        <f>+I42</f>
        <v>0</v>
      </c>
      <c r="J43" s="167">
        <f>+M7</f>
        <v>0</v>
      </c>
      <c r="K43" s="168">
        <f>IF(I43="si",J43*0.05,J43*0.03)</f>
        <v>0</v>
      </c>
      <c r="L43" s="454" t="str">
        <f t="shared" ref="L43:L59" si="14">IF(M43&gt;K43,"SUPERO MASSIMALE SP TECN"," ")</f>
        <v xml:space="preserve"> </v>
      </c>
      <c r="M43" s="169">
        <f t="shared" si="12"/>
        <v>0</v>
      </c>
      <c r="N43" s="170">
        <f>IF(D43="si",40%,IF('PAS PACCHETTO 1 anagraf'!$E$60="RISULTA",50%,40%))</f>
        <v>0.5</v>
      </c>
      <c r="O43" s="219">
        <f>+O6</f>
        <v>0.1</v>
      </c>
      <c r="P43" s="161">
        <f t="shared" si="13"/>
        <v>0</v>
      </c>
      <c r="V43" s="442"/>
      <c r="W43" s="442"/>
      <c r="X43" s="442"/>
      <c r="Y43" s="442"/>
      <c r="Z43" s="442"/>
      <c r="AA43" s="442"/>
      <c r="AB43" s="442"/>
      <c r="AC43" s="442"/>
      <c r="AD43" s="442"/>
      <c r="AE43" s="442"/>
      <c r="AF43" s="442"/>
      <c r="AG43" s="442"/>
      <c r="AH43" s="442"/>
      <c r="AI43" s="442"/>
      <c r="AJ43" s="442"/>
      <c r="AK43" s="442"/>
      <c r="AL43" s="442"/>
      <c r="AM43" s="442"/>
      <c r="AN43" s="442"/>
      <c r="AO43" s="442"/>
      <c r="AP43" s="442"/>
      <c r="AQ43" s="442"/>
      <c r="AR43" s="442"/>
      <c r="AS43" s="442"/>
      <c r="AT43" s="442"/>
      <c r="AU43" s="442"/>
      <c r="AV43" s="442"/>
      <c r="AW43" s="442"/>
      <c r="AX43" s="442"/>
      <c r="AY43" s="442"/>
      <c r="AZ43" s="442"/>
      <c r="BA43" s="442"/>
      <c r="BB43" s="442"/>
      <c r="BC43" s="442"/>
      <c r="BD43" s="442"/>
      <c r="BE43" s="442"/>
      <c r="BF43" s="442"/>
      <c r="BG43" s="442"/>
      <c r="BH43" s="442"/>
    </row>
    <row r="44" spans="2:60" s="160" customFormat="1" ht="24" customHeight="1" x14ac:dyDescent="0.25">
      <c r="B44" s="721">
        <v>2</v>
      </c>
      <c r="C44" s="220" t="s">
        <v>938</v>
      </c>
      <c r="D44" s="248">
        <f>+D8</f>
        <v>0</v>
      </c>
      <c r="E44" s="248" t="str">
        <f>+E8</f>
        <v>SI</v>
      </c>
      <c r="F44" s="248">
        <f>+F8</f>
        <v>0</v>
      </c>
      <c r="G44" s="248">
        <f>+G8</f>
        <v>0</v>
      </c>
      <c r="H44" s="248">
        <f>+H8</f>
        <v>0</v>
      </c>
      <c r="I44" s="273"/>
      <c r="J44" s="167">
        <f>+M8+M9</f>
        <v>0</v>
      </c>
      <c r="K44" s="168">
        <f>IF(I44="si",J44*0.08,J44*0.06)</f>
        <v>0</v>
      </c>
      <c r="L44" s="454" t="str">
        <f t="shared" si="14"/>
        <v xml:space="preserve"> </v>
      </c>
      <c r="M44" s="169">
        <f t="shared" si="12"/>
        <v>0</v>
      </c>
      <c r="N44" s="170">
        <f>IF(D44="si",40%,IF('PAS PACCHETTO 1 anagraf'!$E$60="RISULTA",50%,40%))</f>
        <v>0.5</v>
      </c>
      <c r="O44" s="219">
        <f>+O8</f>
        <v>0.1</v>
      </c>
      <c r="P44" s="161">
        <f t="shared" si="13"/>
        <v>0</v>
      </c>
      <c r="V44" s="442"/>
      <c r="W44" s="442"/>
      <c r="X44" s="442"/>
      <c r="Y44" s="442"/>
      <c r="Z44" s="442"/>
      <c r="AA44" s="442"/>
      <c r="AB44" s="442"/>
      <c r="AC44" s="442"/>
      <c r="AD44" s="442"/>
      <c r="AE44" s="442"/>
      <c r="AF44" s="442"/>
      <c r="AG44" s="442"/>
      <c r="AH44" s="442"/>
      <c r="AI44" s="442"/>
      <c r="AJ44" s="442"/>
      <c r="AK44" s="442"/>
      <c r="AL44" s="442"/>
      <c r="AM44" s="442"/>
      <c r="AN44" s="442"/>
      <c r="AO44" s="442"/>
      <c r="AP44" s="442"/>
      <c r="AQ44" s="442"/>
      <c r="AR44" s="442"/>
      <c r="AS44" s="442"/>
      <c r="AT44" s="442"/>
      <c r="AU44" s="442"/>
      <c r="AV44" s="442"/>
      <c r="AW44" s="442"/>
      <c r="AX44" s="442"/>
      <c r="AY44" s="442"/>
      <c r="AZ44" s="442"/>
      <c r="BA44" s="442"/>
      <c r="BB44" s="442"/>
      <c r="BC44" s="442"/>
      <c r="BD44" s="442"/>
      <c r="BE44" s="442"/>
      <c r="BF44" s="442"/>
      <c r="BG44" s="442"/>
      <c r="BH44" s="442"/>
    </row>
    <row r="45" spans="2:60" s="160" customFormat="1" ht="24" customHeight="1" x14ac:dyDescent="0.25">
      <c r="B45" s="722"/>
      <c r="C45" s="220" t="s">
        <v>939</v>
      </c>
      <c r="D45" s="248">
        <f>+D44</f>
        <v>0</v>
      </c>
      <c r="E45" s="248" t="str">
        <f t="shared" ref="E45:H45" si="15">+E44</f>
        <v>SI</v>
      </c>
      <c r="F45" s="248">
        <f t="shared" si="15"/>
        <v>0</v>
      </c>
      <c r="G45" s="248">
        <f t="shared" si="15"/>
        <v>0</v>
      </c>
      <c r="H45" s="248">
        <f t="shared" si="15"/>
        <v>0</v>
      </c>
      <c r="I45" s="392">
        <f>+I44</f>
        <v>0</v>
      </c>
      <c r="J45" s="167">
        <f>+M10</f>
        <v>0</v>
      </c>
      <c r="K45" s="168">
        <f>IF(I45="si",J45*0.05,J45*0.03)</f>
        <v>0</v>
      </c>
      <c r="L45" s="454" t="str">
        <f t="shared" si="14"/>
        <v xml:space="preserve"> </v>
      </c>
      <c r="M45" s="169">
        <f t="shared" ref="M45" si="16">+K45</f>
        <v>0</v>
      </c>
      <c r="N45" s="170">
        <f>IF(D45="si",40%,IF('PAS PACCHETTO 1 anagraf'!$E$60="RISULTA",50%,40%))</f>
        <v>0.5</v>
      </c>
      <c r="O45" s="219">
        <f>+O9</f>
        <v>0.1</v>
      </c>
      <c r="P45" s="161">
        <f t="shared" si="13"/>
        <v>0</v>
      </c>
      <c r="V45" s="442"/>
      <c r="W45" s="442"/>
      <c r="X45" s="442"/>
      <c r="Y45" s="442"/>
      <c r="Z45" s="442"/>
      <c r="AA45" s="442"/>
      <c r="AB45" s="442"/>
      <c r="AC45" s="442"/>
      <c r="AD45" s="442"/>
      <c r="AE45" s="442"/>
      <c r="AF45" s="442"/>
      <c r="AG45" s="442"/>
      <c r="AH45" s="442"/>
      <c r="AI45" s="442"/>
      <c r="AJ45" s="442"/>
      <c r="AK45" s="442"/>
      <c r="AL45" s="442"/>
      <c r="AM45" s="442"/>
      <c r="AN45" s="442"/>
      <c r="AO45" s="442"/>
      <c r="AP45" s="442"/>
      <c r="AQ45" s="442"/>
      <c r="AR45" s="442"/>
      <c r="AS45" s="442"/>
      <c r="AT45" s="442"/>
      <c r="AU45" s="442"/>
      <c r="AV45" s="442"/>
      <c r="AW45" s="442"/>
      <c r="AX45" s="442"/>
      <c r="AY45" s="442"/>
      <c r="AZ45" s="442"/>
      <c r="BA45" s="442"/>
      <c r="BB45" s="442"/>
      <c r="BC45" s="442"/>
      <c r="BD45" s="442"/>
      <c r="BE45" s="442"/>
      <c r="BF45" s="442"/>
      <c r="BG45" s="442"/>
      <c r="BH45" s="442"/>
    </row>
    <row r="46" spans="2:60" s="160" customFormat="1" ht="24" customHeight="1" x14ac:dyDescent="0.25">
      <c r="B46" s="721">
        <v>3</v>
      </c>
      <c r="C46" s="220" t="s">
        <v>892</v>
      </c>
      <c r="D46" s="248">
        <f>+D11</f>
        <v>0</v>
      </c>
      <c r="E46" s="248" t="str">
        <f>+E11</f>
        <v>SI</v>
      </c>
      <c r="F46" s="248">
        <f>+F11</f>
        <v>0</v>
      </c>
      <c r="G46" s="248">
        <f>+G11</f>
        <v>0</v>
      </c>
      <c r="H46" s="248">
        <f>+H11</f>
        <v>0</v>
      </c>
      <c r="I46" s="273"/>
      <c r="J46" s="167">
        <f>+M11+M12</f>
        <v>0</v>
      </c>
      <c r="K46" s="168">
        <f>IF(I46="si",J46*0.08,J46*0.06)</f>
        <v>0</v>
      </c>
      <c r="L46" s="454" t="str">
        <f t="shared" si="14"/>
        <v xml:space="preserve"> </v>
      </c>
      <c r="M46" s="169">
        <f t="shared" si="12"/>
        <v>0</v>
      </c>
      <c r="N46" s="170">
        <f>IF(D46="si",40%,IF('PAS PACCHETTO 1 anagraf'!$E$60="RISULTA",50%,40%))</f>
        <v>0.5</v>
      </c>
      <c r="O46" s="219">
        <f>+O12</f>
        <v>0.1</v>
      </c>
      <c r="P46" s="161">
        <f t="shared" si="13"/>
        <v>0</v>
      </c>
      <c r="V46" s="442"/>
      <c r="W46" s="442"/>
      <c r="X46" s="442"/>
      <c r="Y46" s="442"/>
      <c r="Z46" s="442"/>
      <c r="AA46" s="442"/>
      <c r="AB46" s="442"/>
      <c r="AC46" s="442"/>
      <c r="AD46" s="442"/>
      <c r="AE46" s="442"/>
      <c r="AF46" s="442"/>
      <c r="AG46" s="442"/>
      <c r="AH46" s="442"/>
      <c r="AI46" s="442"/>
      <c r="AJ46" s="442"/>
      <c r="AK46" s="442"/>
      <c r="AL46" s="442"/>
      <c r="AM46" s="442"/>
      <c r="AN46" s="442"/>
      <c r="AO46" s="442"/>
      <c r="AP46" s="442"/>
      <c r="AQ46" s="442"/>
      <c r="AR46" s="442"/>
      <c r="AS46" s="442"/>
      <c r="AT46" s="442"/>
      <c r="AU46" s="442"/>
      <c r="AV46" s="442"/>
      <c r="AW46" s="442"/>
      <c r="AX46" s="442"/>
      <c r="AY46" s="442"/>
      <c r="AZ46" s="442"/>
      <c r="BA46" s="442"/>
      <c r="BB46" s="442"/>
      <c r="BC46" s="442"/>
      <c r="BD46" s="442"/>
      <c r="BE46" s="442"/>
      <c r="BF46" s="442"/>
      <c r="BG46" s="442"/>
      <c r="BH46" s="442"/>
    </row>
    <row r="47" spans="2:60" s="160" customFormat="1" ht="24" customHeight="1" x14ac:dyDescent="0.25">
      <c r="B47" s="722"/>
      <c r="C47" s="220" t="s">
        <v>893</v>
      </c>
      <c r="D47" s="248">
        <f>+D46</f>
        <v>0</v>
      </c>
      <c r="E47" s="248" t="str">
        <f t="shared" ref="E47:H47" si="17">+E46</f>
        <v>SI</v>
      </c>
      <c r="F47" s="248">
        <f t="shared" si="17"/>
        <v>0</v>
      </c>
      <c r="G47" s="248">
        <f t="shared" si="17"/>
        <v>0</v>
      </c>
      <c r="H47" s="248">
        <f t="shared" si="17"/>
        <v>0</v>
      </c>
      <c r="I47" s="392">
        <f>+I46</f>
        <v>0</v>
      </c>
      <c r="J47" s="167">
        <f>+M13</f>
        <v>0</v>
      </c>
      <c r="K47" s="168">
        <f>IF(I47="si",J47*0.05,J47*0.03)</f>
        <v>0</v>
      </c>
      <c r="L47" s="454" t="str">
        <f t="shared" si="14"/>
        <v xml:space="preserve"> </v>
      </c>
      <c r="M47" s="169">
        <f t="shared" ref="M47" si="18">+K47</f>
        <v>0</v>
      </c>
      <c r="N47" s="170">
        <f>IF(D47="si",40%,IF('PAS PACCHETTO 1 anagraf'!$E$60="RISULTA",50%,40%))</f>
        <v>0.5</v>
      </c>
      <c r="O47" s="219">
        <f>+O12</f>
        <v>0.1</v>
      </c>
      <c r="P47" s="161">
        <f t="shared" si="13"/>
        <v>0</v>
      </c>
      <c r="V47" s="442"/>
      <c r="W47" s="442"/>
      <c r="X47" s="442"/>
      <c r="Y47" s="442"/>
      <c r="Z47" s="442"/>
      <c r="AA47" s="442"/>
      <c r="AB47" s="442"/>
      <c r="AC47" s="442"/>
      <c r="AD47" s="442"/>
      <c r="AE47" s="442"/>
      <c r="AF47" s="442"/>
      <c r="AG47" s="442"/>
      <c r="AH47" s="442"/>
      <c r="AI47" s="442"/>
      <c r="AJ47" s="442"/>
      <c r="AK47" s="442"/>
      <c r="AL47" s="442"/>
      <c r="AM47" s="442"/>
      <c r="AN47" s="442"/>
      <c r="AO47" s="442"/>
      <c r="AP47" s="442"/>
      <c r="AQ47" s="442"/>
      <c r="AR47" s="442"/>
      <c r="AS47" s="442"/>
      <c r="AT47" s="442"/>
      <c r="AU47" s="442"/>
      <c r="AV47" s="442"/>
      <c r="AW47" s="442"/>
      <c r="AX47" s="442"/>
      <c r="AY47" s="442"/>
      <c r="AZ47" s="442"/>
      <c r="BA47" s="442"/>
      <c r="BB47" s="442"/>
      <c r="BC47" s="442"/>
      <c r="BD47" s="442"/>
      <c r="BE47" s="442"/>
      <c r="BF47" s="442"/>
      <c r="BG47" s="442"/>
      <c r="BH47" s="442"/>
    </row>
    <row r="48" spans="2:60" s="160" customFormat="1" ht="24" customHeight="1" x14ac:dyDescent="0.25">
      <c r="B48" s="721">
        <v>4</v>
      </c>
      <c r="C48" s="220" t="s">
        <v>894</v>
      </c>
      <c r="D48" s="248">
        <f>+D14</f>
        <v>0</v>
      </c>
      <c r="E48" s="248" t="str">
        <f>+E14</f>
        <v>SI</v>
      </c>
      <c r="F48" s="248">
        <f>+F14</f>
        <v>0</v>
      </c>
      <c r="G48" s="248">
        <f>+G14</f>
        <v>0</v>
      </c>
      <c r="H48" s="248">
        <f>+H14</f>
        <v>0</v>
      </c>
      <c r="I48" s="273"/>
      <c r="J48" s="167">
        <f>+M14+M15</f>
        <v>0</v>
      </c>
      <c r="K48" s="168">
        <f>IF(I48="si",J48*0.08,J48*0.06)</f>
        <v>0</v>
      </c>
      <c r="L48" s="454" t="str">
        <f t="shared" si="14"/>
        <v xml:space="preserve"> </v>
      </c>
      <c r="M48" s="169">
        <f t="shared" si="12"/>
        <v>0</v>
      </c>
      <c r="N48" s="170">
        <f>IF(D48="si",40%,IF('PAS PACCHETTO 1 anagraf'!$E$60="RISULTA",50%,40%))</f>
        <v>0.5</v>
      </c>
      <c r="O48" s="219">
        <f>+O15</f>
        <v>0.1</v>
      </c>
      <c r="P48" s="161">
        <f t="shared" si="13"/>
        <v>0</v>
      </c>
      <c r="V48" s="442"/>
      <c r="W48" s="442"/>
      <c r="X48" s="442"/>
      <c r="Y48" s="442"/>
      <c r="Z48" s="442"/>
      <c r="AA48" s="442"/>
      <c r="AB48" s="442"/>
      <c r="AC48" s="442"/>
      <c r="AD48" s="442"/>
      <c r="AE48" s="442"/>
      <c r="AF48" s="442"/>
      <c r="AG48" s="442"/>
      <c r="AH48" s="442"/>
      <c r="AI48" s="442"/>
      <c r="AJ48" s="442"/>
      <c r="AK48" s="442"/>
      <c r="AL48" s="442"/>
      <c r="AM48" s="442"/>
      <c r="AN48" s="442"/>
      <c r="AO48" s="442"/>
      <c r="AP48" s="442"/>
      <c r="AQ48" s="442"/>
      <c r="AR48" s="442"/>
      <c r="AS48" s="442"/>
      <c r="AT48" s="442"/>
      <c r="AU48" s="442"/>
      <c r="AV48" s="442"/>
      <c r="AW48" s="442"/>
      <c r="AX48" s="442"/>
      <c r="AY48" s="442"/>
      <c r="AZ48" s="442"/>
      <c r="BA48" s="442"/>
      <c r="BB48" s="442"/>
      <c r="BC48" s="442"/>
      <c r="BD48" s="442"/>
      <c r="BE48" s="442"/>
      <c r="BF48" s="442"/>
      <c r="BG48" s="442"/>
      <c r="BH48" s="442"/>
    </row>
    <row r="49" spans="2:60" s="160" customFormat="1" ht="24" customHeight="1" x14ac:dyDescent="0.25">
      <c r="B49" s="722"/>
      <c r="C49" s="220" t="s">
        <v>895</v>
      </c>
      <c r="D49" s="248">
        <f>+$D$11</f>
        <v>0</v>
      </c>
      <c r="E49" s="248" t="str">
        <f>+$E$11</f>
        <v>SI</v>
      </c>
      <c r="F49" s="248">
        <f>+$F$11</f>
        <v>0</v>
      </c>
      <c r="G49" s="248">
        <f>+$G$11</f>
        <v>0</v>
      </c>
      <c r="H49" s="248">
        <f>+$H$11</f>
        <v>0</v>
      </c>
      <c r="I49" s="392">
        <f>+I48</f>
        <v>0</v>
      </c>
      <c r="J49" s="174">
        <f>+M16</f>
        <v>0</v>
      </c>
      <c r="K49" s="168">
        <f>IF(I49="si",J49*0.05,J49*0.03)</f>
        <v>0</v>
      </c>
      <c r="L49" s="454" t="str">
        <f t="shared" si="14"/>
        <v xml:space="preserve"> </v>
      </c>
      <c r="M49" s="169">
        <f t="shared" ref="M49" si="19">+K49</f>
        <v>0</v>
      </c>
      <c r="N49" s="170">
        <f>IF(D49="si",40%,IF('PAS PACCHETTO 1 anagraf'!$E$60="RISULTA",50%,40%))</f>
        <v>0.5</v>
      </c>
      <c r="O49" s="219">
        <f>+O15</f>
        <v>0.1</v>
      </c>
      <c r="P49" s="161">
        <f t="shared" si="13"/>
        <v>0</v>
      </c>
      <c r="V49" s="442"/>
      <c r="W49" s="442"/>
      <c r="X49" s="442"/>
      <c r="Y49" s="442"/>
      <c r="Z49" s="442"/>
      <c r="AA49" s="442"/>
      <c r="AB49" s="442"/>
      <c r="AC49" s="442"/>
      <c r="AD49" s="442"/>
      <c r="AE49" s="442"/>
      <c r="AF49" s="442"/>
      <c r="AG49" s="442"/>
      <c r="AH49" s="442"/>
      <c r="AI49" s="442"/>
      <c r="AJ49" s="442"/>
      <c r="AK49" s="442"/>
      <c r="AL49" s="442"/>
      <c r="AM49" s="442"/>
      <c r="AN49" s="442"/>
      <c r="AO49" s="442"/>
      <c r="AP49" s="442"/>
      <c r="AQ49" s="442"/>
      <c r="AR49" s="442"/>
      <c r="AS49" s="442"/>
      <c r="AT49" s="442"/>
      <c r="AU49" s="442"/>
      <c r="AV49" s="442"/>
      <c r="AW49" s="442"/>
      <c r="AX49" s="442"/>
      <c r="AY49" s="442"/>
      <c r="AZ49" s="442"/>
      <c r="BA49" s="442"/>
      <c r="BB49" s="442"/>
      <c r="BC49" s="442"/>
      <c r="BD49" s="442"/>
      <c r="BE49" s="442"/>
      <c r="BF49" s="442"/>
      <c r="BG49" s="442"/>
      <c r="BH49" s="442"/>
    </row>
    <row r="50" spans="2:60" s="160" customFormat="1" ht="24" customHeight="1" x14ac:dyDescent="0.25">
      <c r="B50" s="721">
        <v>5</v>
      </c>
      <c r="C50" s="220" t="s">
        <v>940</v>
      </c>
      <c r="D50" s="248">
        <f>+D17</f>
        <v>0</v>
      </c>
      <c r="E50" s="248" t="str">
        <f>+E17</f>
        <v>SI</v>
      </c>
      <c r="F50" s="248">
        <f>+F17</f>
        <v>0</v>
      </c>
      <c r="G50" s="248">
        <f>+G17</f>
        <v>0</v>
      </c>
      <c r="H50" s="248">
        <f>+H17</f>
        <v>0</v>
      </c>
      <c r="I50" s="273"/>
      <c r="J50" s="167">
        <f>+M17+M18</f>
        <v>0</v>
      </c>
      <c r="K50" s="168">
        <f>IF(I50="si",J50*0.08,J50*0.06)</f>
        <v>0</v>
      </c>
      <c r="L50" s="454" t="str">
        <f t="shared" si="14"/>
        <v xml:space="preserve"> </v>
      </c>
      <c r="M50" s="169">
        <f t="shared" si="12"/>
        <v>0</v>
      </c>
      <c r="N50" s="170">
        <f>IF(D50="si",40%,IF('PAS PACCHETTO 1 anagraf'!$E$60="RISULTA",50%,40%))</f>
        <v>0.5</v>
      </c>
      <c r="O50" s="219">
        <f>+O18</f>
        <v>0.1</v>
      </c>
      <c r="P50" s="161">
        <f t="shared" si="13"/>
        <v>0</v>
      </c>
      <c r="V50" s="442"/>
      <c r="W50" s="442"/>
      <c r="X50" s="442"/>
      <c r="Y50" s="442"/>
      <c r="Z50" s="442"/>
      <c r="AA50" s="442"/>
      <c r="AB50" s="442"/>
      <c r="AC50" s="442"/>
      <c r="AD50" s="442"/>
      <c r="AE50" s="442"/>
      <c r="AF50" s="442"/>
      <c r="AG50" s="442"/>
      <c r="AH50" s="442"/>
      <c r="AI50" s="442"/>
      <c r="AJ50" s="442"/>
      <c r="AK50" s="442"/>
      <c r="AL50" s="442"/>
      <c r="AM50" s="442"/>
      <c r="AN50" s="442"/>
      <c r="AO50" s="442"/>
      <c r="AP50" s="442"/>
      <c r="AQ50" s="442"/>
      <c r="AR50" s="442"/>
      <c r="AS50" s="442"/>
      <c r="AT50" s="442"/>
      <c r="AU50" s="442"/>
      <c r="AV50" s="442"/>
      <c r="AW50" s="442"/>
      <c r="AX50" s="442"/>
      <c r="AY50" s="442"/>
      <c r="AZ50" s="442"/>
      <c r="BA50" s="442"/>
      <c r="BB50" s="442"/>
      <c r="BC50" s="442"/>
      <c r="BD50" s="442"/>
      <c r="BE50" s="442"/>
      <c r="BF50" s="442"/>
      <c r="BG50" s="442"/>
      <c r="BH50" s="442"/>
    </row>
    <row r="51" spans="2:60" s="160" customFormat="1" ht="24" customHeight="1" x14ac:dyDescent="0.25">
      <c r="B51" s="722"/>
      <c r="C51" s="220" t="s">
        <v>941</v>
      </c>
      <c r="D51" s="248">
        <f>+D50</f>
        <v>0</v>
      </c>
      <c r="E51" s="248" t="str">
        <f t="shared" ref="E51:H51" si="20">+E50</f>
        <v>SI</v>
      </c>
      <c r="F51" s="248">
        <f t="shared" si="20"/>
        <v>0</v>
      </c>
      <c r="G51" s="248">
        <f t="shared" si="20"/>
        <v>0</v>
      </c>
      <c r="H51" s="248">
        <f t="shared" si="20"/>
        <v>0</v>
      </c>
      <c r="I51" s="392">
        <f>+I50</f>
        <v>0</v>
      </c>
      <c r="J51" s="167">
        <f>+M19</f>
        <v>0</v>
      </c>
      <c r="K51" s="168">
        <f>IF(I51="si",J51*0.05,J51*0.03)</f>
        <v>0</v>
      </c>
      <c r="L51" s="454" t="str">
        <f t="shared" si="14"/>
        <v xml:space="preserve"> </v>
      </c>
      <c r="M51" s="169">
        <f t="shared" si="12"/>
        <v>0</v>
      </c>
      <c r="N51" s="170">
        <f>IF(D51="si",40%,IF('PAS PACCHETTO 1 anagraf'!$E$60="RISULTA",50%,40%))</f>
        <v>0.5</v>
      </c>
      <c r="O51" s="219">
        <f>+O19</f>
        <v>0.1</v>
      </c>
      <c r="P51" s="161">
        <f t="shared" si="13"/>
        <v>0</v>
      </c>
      <c r="V51" s="442"/>
      <c r="W51" s="442"/>
      <c r="X51" s="442"/>
      <c r="Y51" s="442"/>
      <c r="Z51" s="442"/>
      <c r="AA51" s="442"/>
      <c r="AB51" s="442"/>
      <c r="AC51" s="442"/>
      <c r="AD51" s="442"/>
      <c r="AE51" s="442"/>
      <c r="AF51" s="442"/>
      <c r="AG51" s="442"/>
      <c r="AH51" s="442"/>
      <c r="AI51" s="442"/>
      <c r="AJ51" s="442"/>
      <c r="AK51" s="442"/>
      <c r="AL51" s="442"/>
      <c r="AM51" s="442"/>
      <c r="AN51" s="442"/>
      <c r="AO51" s="442"/>
      <c r="AP51" s="442"/>
      <c r="AQ51" s="442"/>
      <c r="AR51" s="442"/>
      <c r="AS51" s="442"/>
      <c r="AT51" s="442"/>
      <c r="AU51" s="442"/>
      <c r="AV51" s="442"/>
      <c r="AW51" s="442"/>
      <c r="AX51" s="442"/>
      <c r="AY51" s="442"/>
      <c r="AZ51" s="442"/>
      <c r="BA51" s="442"/>
      <c r="BB51" s="442"/>
      <c r="BC51" s="442"/>
      <c r="BD51" s="442"/>
      <c r="BE51" s="442"/>
      <c r="BF51" s="442"/>
      <c r="BG51" s="442"/>
      <c r="BH51" s="442"/>
    </row>
    <row r="52" spans="2:60" s="160" customFormat="1" ht="24" customHeight="1" x14ac:dyDescent="0.25">
      <c r="B52" s="306">
        <v>6</v>
      </c>
      <c r="C52" s="220" t="s">
        <v>896</v>
      </c>
      <c r="D52" s="248">
        <f>+D20</f>
        <v>0</v>
      </c>
      <c r="E52" s="248" t="str">
        <f>+E20</f>
        <v>SI</v>
      </c>
      <c r="F52" s="248">
        <f>+F20</f>
        <v>0</v>
      </c>
      <c r="G52" s="248">
        <f>+G20</f>
        <v>0</v>
      </c>
      <c r="H52" s="248">
        <f>+H20</f>
        <v>0</v>
      </c>
      <c r="I52" s="273"/>
      <c r="J52" s="167">
        <f>+M20+M21+M22</f>
        <v>0</v>
      </c>
      <c r="K52" s="168">
        <f t="shared" ref="K52:K53" si="21">IF(I52="si",J52*0.05,J52*0.03)</f>
        <v>0</v>
      </c>
      <c r="L52" s="454" t="str">
        <f t="shared" si="14"/>
        <v xml:space="preserve"> </v>
      </c>
      <c r="M52" s="169">
        <f t="shared" si="12"/>
        <v>0</v>
      </c>
      <c r="N52" s="170">
        <f>IF(D52="si",40%,IF('PAS PACCHETTO 1 anagraf'!$E$60="RISULTA",50%,40%))</f>
        <v>0.5</v>
      </c>
      <c r="O52" s="219">
        <f>+O22</f>
        <v>0.1</v>
      </c>
      <c r="P52" s="161">
        <f t="shared" si="13"/>
        <v>0</v>
      </c>
      <c r="S52" s="447"/>
      <c r="T52" s="447"/>
      <c r="U52" s="447"/>
      <c r="V52" s="447"/>
      <c r="W52" s="447"/>
      <c r="X52" s="447"/>
      <c r="Y52" s="447"/>
      <c r="Z52" s="442"/>
      <c r="AA52" s="442"/>
      <c r="AB52" s="442"/>
      <c r="AC52" s="442"/>
      <c r="AD52" s="442"/>
      <c r="AE52" s="442"/>
      <c r="AF52" s="442"/>
      <c r="AG52" s="442"/>
      <c r="AH52" s="442"/>
      <c r="AI52" s="442"/>
      <c r="AJ52" s="442"/>
      <c r="AK52" s="442"/>
      <c r="AL52" s="442"/>
      <c r="AM52" s="442"/>
      <c r="AN52" s="442"/>
      <c r="AO52" s="442"/>
      <c r="AP52" s="442"/>
      <c r="AQ52" s="442"/>
      <c r="AR52" s="442"/>
      <c r="AS52" s="442"/>
      <c r="AT52" s="442"/>
      <c r="AU52" s="442"/>
      <c r="AV52" s="442"/>
      <c r="AW52" s="442"/>
      <c r="AX52" s="442"/>
      <c r="AY52" s="442"/>
      <c r="AZ52" s="442"/>
      <c r="BA52" s="442"/>
      <c r="BB52" s="442"/>
      <c r="BC52" s="442"/>
      <c r="BD52" s="442"/>
      <c r="BE52" s="442"/>
      <c r="BF52" s="442"/>
      <c r="BG52" s="442"/>
      <c r="BH52" s="442"/>
    </row>
    <row r="53" spans="2:60" s="160" customFormat="1" ht="24" customHeight="1" x14ac:dyDescent="0.25">
      <c r="B53" s="165">
        <v>7</v>
      </c>
      <c r="C53" s="220" t="s">
        <v>942</v>
      </c>
      <c r="D53" s="248">
        <f>+D23</f>
        <v>0</v>
      </c>
      <c r="E53" s="248" t="str">
        <f>+E23</f>
        <v>SI</v>
      </c>
      <c r="F53" s="248">
        <f>+F23</f>
        <v>0</v>
      </c>
      <c r="G53" s="248">
        <f>+G23</f>
        <v>0</v>
      </c>
      <c r="H53" s="248">
        <f>+H23</f>
        <v>0</v>
      </c>
      <c r="I53" s="273"/>
      <c r="J53" s="167">
        <f>+M23+M24+M25</f>
        <v>0</v>
      </c>
      <c r="K53" s="168">
        <f t="shared" si="21"/>
        <v>0</v>
      </c>
      <c r="L53" s="454" t="str">
        <f t="shared" si="14"/>
        <v xml:space="preserve"> </v>
      </c>
      <c r="M53" s="169">
        <f t="shared" si="12"/>
        <v>0</v>
      </c>
      <c r="N53" s="170">
        <f>IF(D53="si",40%,IF('PAS PACCHETTO 1 anagraf'!$E$60="RISULTA",50%,40%))</f>
        <v>0.5</v>
      </c>
      <c r="O53" s="219">
        <f>+O25</f>
        <v>0.1</v>
      </c>
      <c r="P53" s="161">
        <f t="shared" si="13"/>
        <v>0</v>
      </c>
      <c r="S53" s="447"/>
      <c r="T53" s="447"/>
      <c r="U53" s="447"/>
      <c r="V53" s="447"/>
      <c r="W53" s="447"/>
      <c r="X53" s="447"/>
      <c r="Y53" s="447"/>
      <c r="Z53" s="442"/>
      <c r="AA53" s="442"/>
      <c r="AB53" s="442"/>
      <c r="AC53" s="442"/>
      <c r="AD53" s="442"/>
      <c r="AE53" s="442"/>
      <c r="AF53" s="442"/>
      <c r="AG53" s="442"/>
      <c r="AH53" s="442"/>
      <c r="AI53" s="442"/>
      <c r="AJ53" s="442"/>
      <c r="AK53" s="442"/>
      <c r="AL53" s="442"/>
      <c r="AM53" s="442"/>
      <c r="AN53" s="442"/>
      <c r="AO53" s="442"/>
      <c r="AP53" s="442"/>
      <c r="AQ53" s="442"/>
      <c r="AR53" s="442"/>
      <c r="AS53" s="442"/>
      <c r="AT53" s="442"/>
      <c r="AU53" s="442"/>
      <c r="AV53" s="442"/>
      <c r="AW53" s="442"/>
      <c r="AX53" s="442"/>
      <c r="AY53" s="442"/>
      <c r="AZ53" s="442"/>
      <c r="BA53" s="442"/>
      <c r="BB53" s="442"/>
      <c r="BC53" s="442"/>
      <c r="BD53" s="442"/>
      <c r="BE53" s="442"/>
      <c r="BF53" s="442"/>
      <c r="BG53" s="442"/>
      <c r="BH53" s="442"/>
    </row>
    <row r="54" spans="2:60" s="160" customFormat="1" ht="24" customHeight="1" x14ac:dyDescent="0.25">
      <c r="B54" s="721">
        <v>8</v>
      </c>
      <c r="C54" s="220" t="s">
        <v>943</v>
      </c>
      <c r="D54" s="248">
        <f t="shared" ref="D54:D55" si="22">+D24</f>
        <v>0</v>
      </c>
      <c r="E54" s="248" t="str">
        <f>+E26</f>
        <v>SI</v>
      </c>
      <c r="F54" s="248">
        <f>+F26</f>
        <v>0</v>
      </c>
      <c r="G54" s="248">
        <f>+G26</f>
        <v>0</v>
      </c>
      <c r="H54" s="248">
        <f>+H26</f>
        <v>0</v>
      </c>
      <c r="I54" s="273"/>
      <c r="J54" s="167">
        <f>+M26+M27</f>
        <v>0</v>
      </c>
      <c r="K54" s="168">
        <f>IF(I54="si",J54*0.08,J54*0.06)</f>
        <v>0</v>
      </c>
      <c r="L54" s="454" t="str">
        <f t="shared" si="14"/>
        <v xml:space="preserve"> </v>
      </c>
      <c r="M54" s="169">
        <f t="shared" si="12"/>
        <v>0</v>
      </c>
      <c r="N54" s="170">
        <f>IF(D54="si",40%,IF('PAS PACCHETTO 1 anagraf'!$E$60="RISULTA",50%,40%))</f>
        <v>0.5</v>
      </c>
      <c r="O54" s="219">
        <f>+O27</f>
        <v>0.1</v>
      </c>
      <c r="P54" s="161">
        <f t="shared" si="13"/>
        <v>0</v>
      </c>
      <c r="S54" s="447"/>
      <c r="T54" s="447"/>
      <c r="U54" s="447"/>
      <c r="V54" s="447"/>
      <c r="W54" s="447"/>
      <c r="X54" s="447"/>
      <c r="Y54" s="447"/>
      <c r="Z54" s="442"/>
      <c r="AA54" s="442"/>
      <c r="AB54" s="442"/>
      <c r="AC54" s="442"/>
      <c r="AD54" s="442"/>
      <c r="AE54" s="442"/>
      <c r="AF54" s="442"/>
      <c r="AG54" s="442"/>
      <c r="AH54" s="442"/>
      <c r="AI54" s="442"/>
      <c r="AJ54" s="442"/>
      <c r="AK54" s="442"/>
      <c r="AL54" s="442"/>
      <c r="AM54" s="442"/>
      <c r="AN54" s="442"/>
      <c r="AO54" s="442"/>
      <c r="AP54" s="442"/>
      <c r="AQ54" s="442"/>
      <c r="AR54" s="442"/>
      <c r="AS54" s="442"/>
      <c r="AT54" s="442"/>
      <c r="AU54" s="442"/>
      <c r="AV54" s="442"/>
      <c r="AW54" s="442"/>
      <c r="AX54" s="442"/>
      <c r="AY54" s="442"/>
      <c r="AZ54" s="442"/>
      <c r="BA54" s="442"/>
      <c r="BB54" s="442"/>
      <c r="BC54" s="442"/>
      <c r="BD54" s="442"/>
      <c r="BE54" s="442"/>
      <c r="BF54" s="442"/>
      <c r="BG54" s="442"/>
      <c r="BH54" s="442"/>
    </row>
    <row r="55" spans="2:60" s="160" customFormat="1" ht="24" customHeight="1" x14ac:dyDescent="0.25">
      <c r="B55" s="722"/>
      <c r="C55" s="220" t="s">
        <v>944</v>
      </c>
      <c r="D55" s="248">
        <f t="shared" si="22"/>
        <v>0</v>
      </c>
      <c r="E55" s="248" t="str">
        <f>+E26</f>
        <v>SI</v>
      </c>
      <c r="F55" s="248">
        <f>+F26</f>
        <v>0</v>
      </c>
      <c r="G55" s="248">
        <f>+G26</f>
        <v>0</v>
      </c>
      <c r="H55" s="248">
        <f>+H26</f>
        <v>0</v>
      </c>
      <c r="I55" s="392">
        <f>+I54</f>
        <v>0</v>
      </c>
      <c r="J55" s="167">
        <f>+M28</f>
        <v>0</v>
      </c>
      <c r="K55" s="168">
        <f>IF(I55="si",J55*0.05,J55*0.03)</f>
        <v>0</v>
      </c>
      <c r="L55" s="454" t="str">
        <f t="shared" si="14"/>
        <v xml:space="preserve"> </v>
      </c>
      <c r="M55" s="169">
        <f t="shared" si="12"/>
        <v>0</v>
      </c>
      <c r="N55" s="170">
        <f>IF(D55="si",40%,IF('PAS PACCHETTO 1 anagraf'!$E$60="RISULTA",50%,40%))</f>
        <v>0.5</v>
      </c>
      <c r="O55" s="219">
        <f>+O28</f>
        <v>0.1</v>
      </c>
      <c r="P55" s="161">
        <f t="shared" si="13"/>
        <v>0</v>
      </c>
      <c r="S55" s="447"/>
      <c r="T55" s="447"/>
      <c r="U55" s="447"/>
      <c r="V55" s="447"/>
      <c r="W55" s="447"/>
      <c r="X55" s="447"/>
      <c r="Y55" s="447"/>
      <c r="Z55" s="442"/>
      <c r="AA55" s="442"/>
      <c r="AB55" s="442"/>
      <c r="AC55" s="442"/>
      <c r="AD55" s="442"/>
      <c r="AE55" s="442"/>
      <c r="AF55" s="442"/>
      <c r="AG55" s="442"/>
      <c r="AH55" s="442"/>
      <c r="AI55" s="442"/>
      <c r="AJ55" s="442"/>
      <c r="AK55" s="442"/>
      <c r="AL55" s="442"/>
      <c r="AM55" s="442"/>
      <c r="AN55" s="442"/>
      <c r="AO55" s="442"/>
      <c r="AP55" s="442"/>
      <c r="AQ55" s="442"/>
      <c r="AR55" s="442"/>
      <c r="AS55" s="442"/>
      <c r="AT55" s="442"/>
      <c r="AU55" s="442"/>
      <c r="AV55" s="442"/>
      <c r="AW55" s="442"/>
      <c r="AX55" s="442"/>
      <c r="AY55" s="442"/>
      <c r="AZ55" s="442"/>
      <c r="BA55" s="442"/>
      <c r="BB55" s="442"/>
      <c r="BC55" s="442"/>
      <c r="BD55" s="442"/>
      <c r="BE55" s="442"/>
      <c r="BF55" s="442"/>
      <c r="BG55" s="442"/>
      <c r="BH55" s="442"/>
    </row>
    <row r="56" spans="2:60" s="160" customFormat="1" ht="24" customHeight="1" x14ac:dyDescent="0.25">
      <c r="B56" s="305">
        <v>9</v>
      </c>
      <c r="C56" s="220" t="s">
        <v>897</v>
      </c>
      <c r="D56" s="248">
        <f>+D29</f>
        <v>0</v>
      </c>
      <c r="E56" s="248" t="str">
        <f>+E29</f>
        <v>SI</v>
      </c>
      <c r="F56" s="248">
        <f>+F29</f>
        <v>0</v>
      </c>
      <c r="G56" s="248">
        <f>+G29</f>
        <v>0</v>
      </c>
      <c r="H56" s="248">
        <f>+H29</f>
        <v>0</v>
      </c>
      <c r="I56" s="273"/>
      <c r="J56" s="167">
        <f>+M29</f>
        <v>0</v>
      </c>
      <c r="K56" s="168">
        <f>IF(I56="si",J56*0.08,J56*0.06)</f>
        <v>0</v>
      </c>
      <c r="L56" s="454" t="str">
        <f t="shared" si="14"/>
        <v xml:space="preserve"> </v>
      </c>
      <c r="M56" s="169">
        <f t="shared" si="12"/>
        <v>0</v>
      </c>
      <c r="N56" s="170">
        <f>IF(D56="si",40%,IF('PAS PACCHETTO 1 anagraf'!$E$60="RISULTA",50%,40%))</f>
        <v>0.5</v>
      </c>
      <c r="O56" s="219">
        <f>+O29</f>
        <v>0.1</v>
      </c>
      <c r="P56" s="161">
        <f t="shared" si="13"/>
        <v>0</v>
      </c>
      <c r="S56" s="447"/>
      <c r="T56" s="447"/>
      <c r="U56" s="447"/>
      <c r="V56" s="452" t="str">
        <f>IFERROR(+J56*100/J61,"0")</f>
        <v>0</v>
      </c>
      <c r="W56" s="453" t="str">
        <f>IF(V56&lt;10,"0",V56)</f>
        <v>0</v>
      </c>
      <c r="X56" s="447"/>
      <c r="Y56" s="447"/>
      <c r="Z56" s="442"/>
      <c r="AA56" s="442"/>
      <c r="AB56" s="442"/>
      <c r="AC56" s="442"/>
      <c r="AD56" s="442"/>
      <c r="AE56" s="442"/>
      <c r="AF56" s="442"/>
      <c r="AG56" s="442"/>
      <c r="AH56" s="442"/>
      <c r="AI56" s="442"/>
      <c r="AJ56" s="442"/>
      <c r="AK56" s="442"/>
      <c r="AL56" s="442"/>
      <c r="AM56" s="442"/>
      <c r="AN56" s="442"/>
      <c r="AO56" s="442"/>
      <c r="AP56" s="442"/>
      <c r="AQ56" s="442"/>
      <c r="AR56" s="442"/>
      <c r="AS56" s="442"/>
      <c r="AT56" s="442"/>
      <c r="AU56" s="442"/>
      <c r="AV56" s="442"/>
      <c r="AW56" s="442"/>
      <c r="AX56" s="442"/>
      <c r="AY56" s="442"/>
      <c r="AZ56" s="442"/>
      <c r="BA56" s="442"/>
      <c r="BB56" s="442"/>
      <c r="BC56" s="442"/>
      <c r="BD56" s="442"/>
      <c r="BE56" s="442"/>
      <c r="BF56" s="442"/>
      <c r="BG56" s="442"/>
      <c r="BH56" s="442"/>
    </row>
    <row r="57" spans="2:60" s="160" customFormat="1" ht="24" customHeight="1" x14ac:dyDescent="0.25">
      <c r="B57" s="721">
        <v>10</v>
      </c>
      <c r="C57" s="220" t="s">
        <v>946</v>
      </c>
      <c r="D57" s="248">
        <f>+D30</f>
        <v>0</v>
      </c>
      <c r="E57" s="248" t="str">
        <f t="shared" ref="E57:H57" si="23">+E30</f>
        <v>SI</v>
      </c>
      <c r="F57" s="248">
        <f t="shared" si="23"/>
        <v>0</v>
      </c>
      <c r="G57" s="248">
        <f t="shared" si="23"/>
        <v>0</v>
      </c>
      <c r="H57" s="248">
        <f t="shared" si="23"/>
        <v>0</v>
      </c>
      <c r="I57" s="273"/>
      <c r="J57" s="167">
        <f>+M30+M31</f>
        <v>0</v>
      </c>
      <c r="K57" s="168">
        <f>IF(I57="si",J57*0.08,J57*0.06)</f>
        <v>0</v>
      </c>
      <c r="L57" s="454" t="str">
        <f t="shared" si="14"/>
        <v xml:space="preserve"> </v>
      </c>
      <c r="M57" s="169">
        <f t="shared" si="12"/>
        <v>0</v>
      </c>
      <c r="N57" s="170">
        <f>IF(D57="si",40%,IF('PAS PACCHETTO 1 anagraf'!$E$60="RISULTA",50%,40%))</f>
        <v>0.5</v>
      </c>
      <c r="O57" s="219">
        <f>+O31</f>
        <v>0.1</v>
      </c>
      <c r="P57" s="161">
        <f t="shared" si="13"/>
        <v>0</v>
      </c>
      <c r="S57" s="447"/>
      <c r="T57" s="447"/>
      <c r="U57" s="447"/>
      <c r="V57" s="442"/>
      <c r="W57" s="442" t="str">
        <f>IF(W56="0","OK","ATTENZIONE, L'ACQUISTO DI TERRENO SUPERA IM MASSIMALE DA BANDO")</f>
        <v>OK</v>
      </c>
      <c r="X57" s="447"/>
      <c r="Y57" s="447"/>
      <c r="Z57" s="442"/>
      <c r="AA57" s="442"/>
      <c r="AB57" s="442"/>
      <c r="AC57" s="442"/>
      <c r="AD57" s="442"/>
      <c r="AE57" s="442"/>
      <c r="AF57" s="442"/>
      <c r="AG57" s="442"/>
      <c r="AH57" s="442"/>
      <c r="AI57" s="442"/>
      <c r="AJ57" s="442"/>
      <c r="AK57" s="442"/>
      <c r="AL57" s="442"/>
      <c r="AM57" s="442"/>
      <c r="AN57" s="442"/>
      <c r="AO57" s="442"/>
      <c r="AP57" s="442"/>
      <c r="AQ57" s="442"/>
      <c r="AR57" s="442"/>
      <c r="AS57" s="442"/>
      <c r="AT57" s="442"/>
      <c r="AU57" s="442"/>
      <c r="AV57" s="442"/>
      <c r="AW57" s="442"/>
      <c r="AX57" s="442"/>
      <c r="AY57" s="442"/>
      <c r="AZ57" s="442"/>
      <c r="BA57" s="442"/>
      <c r="BB57" s="442"/>
      <c r="BC57" s="442"/>
      <c r="BD57" s="442"/>
      <c r="BE57" s="442"/>
      <c r="BF57" s="442"/>
      <c r="BG57" s="442"/>
      <c r="BH57" s="442"/>
    </row>
    <row r="58" spans="2:60" s="160" customFormat="1" ht="24" customHeight="1" x14ac:dyDescent="0.25">
      <c r="B58" s="722"/>
      <c r="C58" s="220" t="s">
        <v>945</v>
      </c>
      <c r="D58" s="248">
        <f>+D30</f>
        <v>0</v>
      </c>
      <c r="E58" s="248" t="s">
        <v>1183</v>
      </c>
      <c r="F58" s="248">
        <f>+F30</f>
        <v>0</v>
      </c>
      <c r="G58" s="248">
        <f>+G30</f>
        <v>0</v>
      </c>
      <c r="H58" s="248">
        <f>+H30</f>
        <v>0</v>
      </c>
      <c r="I58" s="392">
        <f>+I57</f>
        <v>0</v>
      </c>
      <c r="J58" s="167">
        <f>+M32</f>
        <v>0</v>
      </c>
      <c r="K58" s="168">
        <f>IF(I58="si",J58*0.05,J58*0.03)</f>
        <v>0</v>
      </c>
      <c r="L58" s="454" t="str">
        <f t="shared" si="14"/>
        <v xml:space="preserve"> </v>
      </c>
      <c r="M58" s="169">
        <f t="shared" si="12"/>
        <v>0</v>
      </c>
      <c r="N58" s="170">
        <f>IF(D58="si",40%,IF('PAS PACCHETTO 1 anagraf'!$E$60="RISULTA",50%,40%))</f>
        <v>0.5</v>
      </c>
      <c r="O58" s="219">
        <f>+O32</f>
        <v>0.1</v>
      </c>
      <c r="P58" s="161">
        <f t="shared" si="13"/>
        <v>0</v>
      </c>
      <c r="S58" s="447"/>
      <c r="T58" s="447"/>
      <c r="U58" s="447"/>
      <c r="V58" s="447"/>
      <c r="W58" s="447"/>
      <c r="X58" s="447"/>
      <c r="Y58" s="447"/>
      <c r="Z58" s="442"/>
      <c r="AA58" s="442"/>
      <c r="AB58" s="442"/>
      <c r="AC58" s="442"/>
      <c r="AD58" s="442"/>
      <c r="AE58" s="442"/>
      <c r="AF58" s="442"/>
      <c r="AG58" s="442"/>
      <c r="AH58" s="442"/>
      <c r="AI58" s="442"/>
      <c r="AJ58" s="442"/>
      <c r="AK58" s="442"/>
      <c r="AL58" s="442"/>
      <c r="AM58" s="442"/>
      <c r="AN58" s="442"/>
      <c r="AO58" s="442"/>
      <c r="AP58" s="442"/>
      <c r="AQ58" s="442"/>
      <c r="AR58" s="442"/>
      <c r="AS58" s="442"/>
      <c r="AT58" s="442"/>
      <c r="AU58" s="442"/>
      <c r="AV58" s="442"/>
      <c r="AW58" s="442"/>
      <c r="AX58" s="442"/>
      <c r="AY58" s="442"/>
      <c r="AZ58" s="442"/>
      <c r="BA58" s="442"/>
      <c r="BB58" s="442"/>
      <c r="BC58" s="442"/>
      <c r="BD58" s="442"/>
      <c r="BE58" s="442"/>
      <c r="BF58" s="442"/>
      <c r="BG58" s="442"/>
      <c r="BH58" s="442"/>
    </row>
    <row r="59" spans="2:60" s="160" customFormat="1" ht="24" customHeight="1" x14ac:dyDescent="0.25">
      <c r="B59" s="165">
        <v>11</v>
      </c>
      <c r="C59" s="220" t="s">
        <v>898</v>
      </c>
      <c r="D59" s="248">
        <f>+D33</f>
        <v>0</v>
      </c>
      <c r="E59" s="248" t="str">
        <f t="shared" ref="E59:H59" si="24">+E33</f>
        <v>SI</v>
      </c>
      <c r="F59" s="248">
        <f t="shared" si="24"/>
        <v>0</v>
      </c>
      <c r="G59" s="248">
        <f t="shared" si="24"/>
        <v>0</v>
      </c>
      <c r="H59" s="248">
        <f t="shared" si="24"/>
        <v>0</v>
      </c>
      <c r="I59" s="273"/>
      <c r="J59" s="167">
        <f>+M33+M34</f>
        <v>0</v>
      </c>
      <c r="K59" s="168">
        <f>IF(I59="si",J59*0.05,J59*0.03)</f>
        <v>0</v>
      </c>
      <c r="L59" s="454" t="str">
        <f t="shared" si="14"/>
        <v xml:space="preserve"> </v>
      </c>
      <c r="M59" s="169">
        <f t="shared" si="12"/>
        <v>0</v>
      </c>
      <c r="N59" s="170">
        <f>IF(D59="si",40%,IF('PAS PACCHETTO 1 anagraf'!$E$60="RISULTA",50%,40%))</f>
        <v>0.5</v>
      </c>
      <c r="O59" s="219">
        <f>+O34</f>
        <v>0.1</v>
      </c>
      <c r="P59" s="161">
        <f t="shared" ref="P59" si="25">+M59*(N59+O59)</f>
        <v>0</v>
      </c>
      <c r="S59" s="447"/>
      <c r="T59" s="447"/>
      <c r="U59" s="447"/>
      <c r="V59" s="447"/>
      <c r="W59" s="447"/>
      <c r="X59" s="447"/>
      <c r="Y59" s="447"/>
      <c r="Z59" s="442"/>
      <c r="AA59" s="442"/>
      <c r="AB59" s="442"/>
      <c r="AC59" s="442"/>
      <c r="AD59" s="442"/>
      <c r="AE59" s="442"/>
      <c r="AF59" s="442"/>
      <c r="AG59" s="442"/>
      <c r="AH59" s="442"/>
      <c r="AI59" s="442"/>
      <c r="AJ59" s="442"/>
      <c r="AK59" s="442"/>
      <c r="AL59" s="442"/>
      <c r="AM59" s="442"/>
      <c r="AN59" s="442"/>
      <c r="AO59" s="442"/>
      <c r="AP59" s="442"/>
      <c r="AQ59" s="442"/>
      <c r="AR59" s="442"/>
      <c r="AS59" s="442"/>
      <c r="AT59" s="442"/>
      <c r="AU59" s="442"/>
      <c r="AV59" s="442"/>
      <c r="AW59" s="442"/>
      <c r="AX59" s="442"/>
      <c r="AY59" s="442"/>
      <c r="AZ59" s="442"/>
      <c r="BA59" s="442"/>
      <c r="BB59" s="442"/>
      <c r="BC59" s="442"/>
      <c r="BD59" s="442"/>
      <c r="BE59" s="442"/>
      <c r="BF59" s="442"/>
      <c r="BG59" s="442"/>
      <c r="BH59" s="442"/>
    </row>
    <row r="60" spans="2:60" ht="23.4" customHeight="1" x14ac:dyDescent="0.25">
      <c r="K60" s="171"/>
      <c r="L60" s="171"/>
      <c r="S60" s="448"/>
      <c r="T60" s="448"/>
      <c r="U60" s="448"/>
      <c r="V60" s="448"/>
      <c r="W60" s="448"/>
      <c r="X60" s="448"/>
      <c r="Y60" s="448"/>
    </row>
    <row r="61" spans="2:60" s="160" customFormat="1" ht="23.4" customHeight="1" x14ac:dyDescent="0.25">
      <c r="B61" s="162"/>
      <c r="C61" s="172" t="s">
        <v>414</v>
      </c>
      <c r="D61" s="172"/>
      <c r="E61" s="172"/>
      <c r="F61" s="172"/>
      <c r="G61" s="172"/>
      <c r="H61" s="172"/>
      <c r="I61" s="172"/>
      <c r="J61" s="167">
        <f>SUM(J42:J59)</f>
        <v>0</v>
      </c>
      <c r="K61" s="173"/>
      <c r="L61" s="173"/>
      <c r="M61" s="167"/>
      <c r="N61" s="170" t="str">
        <f>IFERROR(+P61/J61," ")</f>
        <v xml:space="preserve"> </v>
      </c>
      <c r="O61" s="172"/>
      <c r="P61" s="175">
        <f>+P38</f>
        <v>0</v>
      </c>
      <c r="S61" s="447"/>
      <c r="T61" s="447"/>
      <c r="U61" s="447"/>
      <c r="V61" s="447"/>
      <c r="W61" s="447"/>
      <c r="X61" s="447"/>
      <c r="Y61" s="447"/>
      <c r="Z61" s="442"/>
      <c r="AA61" s="442"/>
      <c r="AB61" s="442"/>
      <c r="AC61" s="442"/>
      <c r="AD61" s="442"/>
      <c r="AE61" s="442"/>
      <c r="AF61" s="442"/>
      <c r="AG61" s="442"/>
      <c r="AH61" s="442"/>
      <c r="AI61" s="442"/>
      <c r="AJ61" s="442"/>
      <c r="AK61" s="442"/>
      <c r="AL61" s="442"/>
      <c r="AM61" s="442"/>
      <c r="AN61" s="442"/>
      <c r="AO61" s="442"/>
      <c r="AP61" s="442"/>
      <c r="AQ61" s="442"/>
      <c r="AR61" s="442"/>
      <c r="AS61" s="442"/>
      <c r="AT61" s="442"/>
      <c r="AU61" s="442"/>
      <c r="AV61" s="442"/>
      <c r="AW61" s="442"/>
      <c r="AX61" s="442"/>
      <c r="AY61" s="442"/>
      <c r="AZ61" s="442"/>
      <c r="BA61" s="442"/>
      <c r="BB61" s="442"/>
      <c r="BC61" s="442"/>
      <c r="BD61" s="442"/>
      <c r="BE61" s="442"/>
      <c r="BF61" s="442"/>
      <c r="BG61" s="442"/>
      <c r="BH61" s="442"/>
    </row>
    <row r="62" spans="2:60" s="160" customFormat="1" ht="23.4" customHeight="1" x14ac:dyDescent="0.25">
      <c r="B62" s="162"/>
      <c r="C62" s="172" t="s">
        <v>415</v>
      </c>
      <c r="D62" s="172"/>
      <c r="E62" s="172"/>
      <c r="F62" s="172"/>
      <c r="G62" s="172"/>
      <c r="H62" s="172"/>
      <c r="I62" s="172"/>
      <c r="J62" s="166"/>
      <c r="K62" s="174"/>
      <c r="L62" s="174"/>
      <c r="M62" s="175">
        <f>SUM(M42:M59)</f>
        <v>0</v>
      </c>
      <c r="N62" s="170" t="str">
        <f>IFERROR(P62/M62," ")</f>
        <v xml:space="preserve"> </v>
      </c>
      <c r="O62" s="172"/>
      <c r="P62" s="175">
        <f>SUM(P42:P59)</f>
        <v>0</v>
      </c>
      <c r="V62" s="442"/>
      <c r="W62" s="442"/>
      <c r="X62" s="442"/>
      <c r="Y62" s="442"/>
      <c r="Z62" s="442"/>
      <c r="AA62" s="442"/>
      <c r="AB62" s="442"/>
      <c r="AC62" s="442"/>
      <c r="AD62" s="442"/>
      <c r="AE62" s="442"/>
      <c r="AF62" s="442"/>
      <c r="AG62" s="442"/>
      <c r="AH62" s="442"/>
      <c r="AI62" s="442"/>
      <c r="AJ62" s="442"/>
      <c r="AK62" s="442"/>
      <c r="AL62" s="442"/>
      <c r="AM62" s="442"/>
      <c r="AN62" s="442"/>
      <c r="AO62" s="442"/>
      <c r="AP62" s="442"/>
      <c r="AQ62" s="442"/>
      <c r="AR62" s="442"/>
      <c r="AS62" s="442"/>
      <c r="AT62" s="442"/>
      <c r="AU62" s="442"/>
      <c r="AV62" s="442"/>
      <c r="AW62" s="442"/>
      <c r="AX62" s="442"/>
      <c r="AY62" s="442"/>
      <c r="AZ62" s="442"/>
      <c r="BA62" s="442"/>
      <c r="BB62" s="442"/>
      <c r="BC62" s="442"/>
      <c r="BD62" s="442"/>
      <c r="BE62" s="442"/>
      <c r="BF62" s="442"/>
      <c r="BG62" s="442"/>
      <c r="BH62" s="442"/>
    </row>
    <row r="63" spans="2:60" s="160" customFormat="1" ht="23.4" customHeight="1" x14ac:dyDescent="0.25">
      <c r="B63" s="214"/>
      <c r="C63" s="723" t="s">
        <v>948</v>
      </c>
      <c r="D63" s="724"/>
      <c r="E63" s="724"/>
      <c r="F63" s="724"/>
      <c r="G63" s="724"/>
      <c r="H63" s="724"/>
      <c r="I63" s="724"/>
      <c r="J63" s="724"/>
      <c r="K63" s="724"/>
      <c r="L63" s="328"/>
      <c r="M63" s="176">
        <f>+M62+J61</f>
        <v>0</v>
      </c>
      <c r="N63" s="168"/>
      <c r="O63" s="168"/>
      <c r="P63" s="176">
        <f>SUM(P61:P62)</f>
        <v>0</v>
      </c>
      <c r="V63" s="442"/>
      <c r="W63" s="442"/>
      <c r="X63" s="442"/>
      <c r="Y63" s="442"/>
      <c r="Z63" s="442"/>
      <c r="AA63" s="442"/>
      <c r="AB63" s="442"/>
      <c r="AC63" s="442"/>
      <c r="AD63" s="442"/>
      <c r="AE63" s="442"/>
      <c r="AF63" s="442"/>
      <c r="AG63" s="442"/>
      <c r="AH63" s="442"/>
      <c r="AI63" s="442"/>
      <c r="AJ63" s="442"/>
      <c r="AK63" s="442"/>
      <c r="AL63" s="442"/>
      <c r="AM63" s="442"/>
      <c r="AN63" s="442"/>
      <c r="AO63" s="442"/>
      <c r="AP63" s="442"/>
      <c r="AQ63" s="442"/>
      <c r="AR63" s="442"/>
      <c r="AS63" s="442"/>
      <c r="AT63" s="442"/>
      <c r="AU63" s="442"/>
      <c r="AV63" s="442"/>
      <c r="AW63" s="442"/>
      <c r="AX63" s="442"/>
      <c r="AY63" s="442"/>
      <c r="AZ63" s="442"/>
      <c r="BA63" s="442"/>
      <c r="BB63" s="442"/>
      <c r="BC63" s="442"/>
      <c r="BD63" s="442"/>
      <c r="BE63" s="442"/>
      <c r="BF63" s="442"/>
      <c r="BG63" s="442"/>
      <c r="BH63" s="442"/>
    </row>
    <row r="64" spans="2:60" s="160" customFormat="1" ht="23.4" customHeight="1" x14ac:dyDescent="0.25">
      <c r="B64" s="162"/>
      <c r="K64" s="162" t="s">
        <v>416</v>
      </c>
      <c r="L64" s="162"/>
      <c r="M64" s="177"/>
      <c r="N64" s="211" t="str">
        <f>IFERROR(+P64/M63," ")</f>
        <v xml:space="preserve"> </v>
      </c>
      <c r="P64" s="212">
        <f>SUM(P63:P63)</f>
        <v>0</v>
      </c>
      <c r="V64" s="442"/>
      <c r="W64" s="442"/>
      <c r="X64" s="442"/>
      <c r="Y64" s="442"/>
      <c r="Z64" s="442"/>
      <c r="AA64" s="442"/>
      <c r="AB64" s="442"/>
      <c r="AC64" s="442"/>
      <c r="AD64" s="442"/>
      <c r="AE64" s="442"/>
      <c r="AF64" s="442"/>
      <c r="AG64" s="442"/>
      <c r="AH64" s="442"/>
      <c r="AI64" s="442"/>
      <c r="AJ64" s="442"/>
      <c r="AK64" s="442"/>
      <c r="AL64" s="442"/>
      <c r="AM64" s="442"/>
      <c r="AN64" s="442"/>
      <c r="AO64" s="442"/>
      <c r="AP64" s="442"/>
      <c r="AQ64" s="442"/>
      <c r="AR64" s="442"/>
      <c r="AS64" s="442"/>
      <c r="AT64" s="442"/>
      <c r="AU64" s="442"/>
      <c r="AV64" s="442"/>
      <c r="AW64" s="442"/>
      <c r="AX64" s="442"/>
      <c r="AY64" s="442"/>
      <c r="AZ64" s="442"/>
      <c r="BA64" s="442"/>
      <c r="BB64" s="442"/>
      <c r="BC64" s="442"/>
      <c r="BD64" s="442"/>
      <c r="BE64" s="442"/>
      <c r="BF64" s="442"/>
      <c r="BG64" s="442"/>
      <c r="BH64" s="442"/>
    </row>
    <row r="65" spans="2:60" s="160" customFormat="1" ht="23.4" customHeight="1" x14ac:dyDescent="0.25">
      <c r="B65" s="162"/>
      <c r="K65" s="162"/>
      <c r="L65" s="162"/>
      <c r="M65" s="177"/>
      <c r="N65" s="211"/>
      <c r="P65" s="213"/>
      <c r="V65" s="442"/>
      <c r="W65" s="442"/>
      <c r="X65" s="442"/>
      <c r="Y65" s="442"/>
      <c r="Z65" s="442"/>
      <c r="AA65" s="442"/>
      <c r="AB65" s="442"/>
      <c r="AC65" s="442"/>
      <c r="AD65" s="442"/>
      <c r="AE65" s="442"/>
      <c r="AF65" s="442"/>
      <c r="AG65" s="442"/>
      <c r="AH65" s="442"/>
      <c r="AI65" s="442"/>
      <c r="AJ65" s="442"/>
      <c r="AK65" s="442"/>
      <c r="AL65" s="442"/>
      <c r="AM65" s="442"/>
      <c r="AN65" s="442"/>
      <c r="AO65" s="442"/>
      <c r="AP65" s="442"/>
      <c r="AQ65" s="442"/>
      <c r="AR65" s="442"/>
      <c r="AS65" s="442"/>
      <c r="AT65" s="442"/>
      <c r="AU65" s="442"/>
      <c r="AV65" s="442"/>
      <c r="AW65" s="442"/>
      <c r="AX65" s="442"/>
      <c r="AY65" s="442"/>
      <c r="AZ65" s="442"/>
      <c r="BA65" s="442"/>
      <c r="BB65" s="442"/>
      <c r="BC65" s="442"/>
      <c r="BD65" s="442"/>
      <c r="BE65" s="442"/>
      <c r="BF65" s="442"/>
      <c r="BG65" s="442"/>
      <c r="BH65" s="442"/>
    </row>
    <row r="66" spans="2:60" s="160" customFormat="1" x14ac:dyDescent="0.25">
      <c r="B66" s="162"/>
      <c r="D66" s="733" t="str">
        <f>+W57</f>
        <v>OK</v>
      </c>
      <c r="E66" s="733"/>
      <c r="F66" s="733"/>
      <c r="G66" s="733"/>
      <c r="H66" s="733"/>
      <c r="I66" s="733"/>
      <c r="J66" s="733"/>
      <c r="K66" s="734" t="str">
        <f>IF(P64&lt;4999.99,"LA DOMANDA NON E' AMMISSIBILE",IF(P64&gt;80000,"SUPERATO IL MASSIMALE DI CONTRIBUTO","CONTRIBUTO RICHIESTO CONFORME AL MINIMO DEL BANDO"))</f>
        <v>LA DOMANDA NON E' AMMISSIBILE</v>
      </c>
      <c r="L66" s="734"/>
      <c r="M66" s="734"/>
      <c r="N66" s="734"/>
      <c r="O66" s="734"/>
      <c r="P66" s="734"/>
      <c r="V66" s="442"/>
      <c r="W66" s="442"/>
      <c r="X66" s="442"/>
      <c r="Y66" s="442"/>
      <c r="Z66" s="442"/>
      <c r="AA66" s="442"/>
      <c r="AB66" s="442"/>
      <c r="AC66" s="442"/>
      <c r="AD66" s="442"/>
      <c r="AE66" s="442"/>
      <c r="AF66" s="442"/>
      <c r="AG66" s="442"/>
      <c r="AH66" s="442"/>
      <c r="AI66" s="442"/>
      <c r="AJ66" s="442"/>
      <c r="AK66" s="442"/>
      <c r="AL66" s="442"/>
      <c r="AM66" s="442"/>
      <c r="AN66" s="442"/>
      <c r="AO66" s="442"/>
      <c r="AP66" s="442"/>
      <c r="AQ66" s="442"/>
      <c r="AR66" s="442"/>
      <c r="AS66" s="442"/>
      <c r="AT66" s="442"/>
      <c r="AU66" s="442"/>
      <c r="AV66" s="442"/>
      <c r="AW66" s="442"/>
      <c r="AX66" s="442"/>
      <c r="AY66" s="442"/>
      <c r="AZ66" s="442"/>
      <c r="BA66" s="442"/>
      <c r="BB66" s="442"/>
      <c r="BC66" s="442"/>
      <c r="BD66" s="442"/>
      <c r="BE66" s="442"/>
      <c r="BF66" s="442"/>
      <c r="BG66" s="442"/>
      <c r="BH66" s="442"/>
    </row>
    <row r="67" spans="2:60" x14ac:dyDescent="0.25">
      <c r="K67" s="350"/>
      <c r="L67" s="350"/>
      <c r="M67" s="350"/>
      <c r="N67" s="350"/>
      <c r="O67" s="350"/>
      <c r="P67" s="350"/>
    </row>
    <row r="70" spans="2:60" x14ac:dyDescent="0.25">
      <c r="B70" s="158" t="s">
        <v>274</v>
      </c>
    </row>
    <row r="71" spans="2:60" x14ac:dyDescent="0.25">
      <c r="B71" s="158"/>
    </row>
    <row r="72" spans="2:60" x14ac:dyDescent="0.25">
      <c r="B72" s="158" t="s">
        <v>445</v>
      </c>
    </row>
    <row r="74" spans="2:60" ht="68.400000000000006" customHeight="1" x14ac:dyDescent="0.25">
      <c r="B74" s="720" t="s">
        <v>179</v>
      </c>
      <c r="C74" s="718"/>
      <c r="D74" s="246"/>
      <c r="E74" s="246"/>
      <c r="F74" s="246"/>
      <c r="G74" s="246"/>
      <c r="H74" s="719" t="s">
        <v>444</v>
      </c>
      <c r="I74" s="719"/>
      <c r="J74" s="719"/>
      <c r="K74" s="719"/>
      <c r="L74" s="719"/>
      <c r="M74" s="719"/>
      <c r="N74" s="719"/>
      <c r="O74" s="719"/>
      <c r="P74" s="719"/>
    </row>
    <row r="76" spans="2:60" ht="68.400000000000006" customHeight="1" x14ac:dyDescent="0.25">
      <c r="B76" s="717" t="s">
        <v>928</v>
      </c>
      <c r="C76" s="718"/>
      <c r="D76" s="246"/>
      <c r="E76" s="246"/>
      <c r="F76" s="246"/>
      <c r="G76" s="246"/>
      <c r="H76" s="719" t="s">
        <v>931</v>
      </c>
      <c r="I76" s="719"/>
      <c r="J76" s="719"/>
      <c r="K76" s="719"/>
      <c r="L76" s="719"/>
      <c r="M76" s="719"/>
      <c r="N76" s="719"/>
      <c r="O76" s="719"/>
      <c r="P76" s="719"/>
    </row>
    <row r="78" spans="2:60" ht="68.400000000000006" customHeight="1" x14ac:dyDescent="0.25">
      <c r="B78" s="717" t="s">
        <v>929</v>
      </c>
      <c r="C78" s="718"/>
      <c r="D78" s="246"/>
      <c r="E78" s="246"/>
      <c r="F78" s="246"/>
      <c r="G78" s="246"/>
      <c r="H78" s="719" t="s">
        <v>930</v>
      </c>
      <c r="I78" s="719"/>
      <c r="J78" s="719"/>
      <c r="K78" s="719"/>
      <c r="L78" s="719"/>
      <c r="M78" s="719"/>
      <c r="N78" s="719"/>
      <c r="O78" s="719"/>
      <c r="P78" s="719"/>
    </row>
    <row r="80" spans="2:60" ht="68.400000000000006" customHeight="1" x14ac:dyDescent="0.25">
      <c r="B80" s="717" t="s">
        <v>932</v>
      </c>
      <c r="C80" s="731"/>
      <c r="D80" s="731"/>
      <c r="E80" s="731"/>
      <c r="F80" s="731"/>
      <c r="G80" s="732"/>
      <c r="H80" s="719" t="s">
        <v>933</v>
      </c>
      <c r="I80" s="719"/>
      <c r="J80" s="719"/>
      <c r="K80" s="719"/>
      <c r="L80" s="719"/>
      <c r="M80" s="719"/>
      <c r="N80" s="719"/>
      <c r="O80" s="719"/>
      <c r="P80" s="719"/>
    </row>
    <row r="84" spans="2:22" ht="17.399999999999999" x14ac:dyDescent="0.3">
      <c r="B84" s="716" t="s">
        <v>980</v>
      </c>
      <c r="C84" s="716"/>
      <c r="D84" s="716"/>
      <c r="E84" s="716"/>
      <c r="F84" s="716"/>
      <c r="G84" s="716"/>
      <c r="H84" s="716"/>
      <c r="I84" s="716"/>
      <c r="J84" s="716"/>
      <c r="K84" s="716"/>
      <c r="L84" s="716"/>
      <c r="M84" s="716"/>
      <c r="N84" s="716"/>
      <c r="O84" s="716"/>
      <c r="P84" s="716"/>
    </row>
    <row r="86" spans="2:22" ht="23.25" customHeight="1" x14ac:dyDescent="0.25">
      <c r="B86" s="158"/>
      <c r="D86" s="727"/>
      <c r="E86" s="727"/>
      <c r="F86" s="727"/>
      <c r="G86" s="727"/>
      <c r="K86" s="730" t="s">
        <v>981</v>
      </c>
      <c r="L86" s="730"/>
      <c r="N86" s="728">
        <v>18000</v>
      </c>
      <c r="O86" s="729"/>
    </row>
    <row r="87" spans="2:22" ht="14.25" customHeight="1" x14ac:dyDescent="0.25">
      <c r="B87" s="373" t="s">
        <v>1181</v>
      </c>
      <c r="O87" s="160"/>
    </row>
    <row r="88" spans="2:22" ht="23.25" customHeight="1" x14ac:dyDescent="0.25">
      <c r="B88" s="737"/>
      <c r="C88" s="738"/>
      <c r="E88" s="356" t="s">
        <v>1161</v>
      </c>
      <c r="G88" s="162" t="str">
        <f>IFERROR(INDEX($K$188:$K$354,MATCH(B88,$G$188:$G$354,0)),"")</f>
        <v/>
      </c>
      <c r="K88" s="158"/>
      <c r="L88" s="379" t="s">
        <v>1162</v>
      </c>
      <c r="N88" s="728" t="str">
        <f>IFERROR(INDEX($L$188:$L$354,MATCH(B88,$G$188:$G$354,0)),"")</f>
        <v/>
      </c>
      <c r="O88" s="729"/>
    </row>
    <row r="89" spans="2:22" ht="14.25" customHeight="1" x14ac:dyDescent="0.25">
      <c r="O89" s="160"/>
      <c r="R89" s="735">
        <f>IF(M90="si","ATTENZIONE, NON E' CUMULABILE CON IL REQUISITO SUCCESSIVO",)</f>
        <v>0</v>
      </c>
      <c r="S89" s="735"/>
      <c r="T89" s="735"/>
      <c r="U89" s="393"/>
      <c r="V89" s="446"/>
    </row>
    <row r="90" spans="2:22" ht="23.25" customHeight="1" x14ac:dyDescent="0.25">
      <c r="B90" s="736" t="s">
        <v>1170</v>
      </c>
      <c r="C90" s="736"/>
      <c r="D90" s="736"/>
      <c r="E90" s="736"/>
      <c r="F90" s="736"/>
      <c r="G90" s="736"/>
      <c r="H90" s="736"/>
      <c r="I90" s="736"/>
      <c r="J90" s="736"/>
      <c r="K90" s="736"/>
      <c r="L90" s="736"/>
      <c r="M90" s="394"/>
      <c r="N90" s="728">
        <f>IF(M90="SI",8000,0)</f>
        <v>0</v>
      </c>
      <c r="O90" s="729"/>
      <c r="Q90" s="393"/>
      <c r="R90" s="735"/>
      <c r="S90" s="735"/>
      <c r="T90" s="735"/>
      <c r="U90" s="393"/>
      <c r="V90" s="446"/>
    </row>
    <row r="91" spans="2:22" ht="14.25" customHeight="1" x14ac:dyDescent="0.25">
      <c r="O91" s="160"/>
      <c r="Q91" s="393"/>
      <c r="R91" s="393"/>
      <c r="S91" s="393"/>
      <c r="T91" s="393"/>
      <c r="U91" s="393"/>
      <c r="V91" s="446"/>
    </row>
    <row r="92" spans="2:22" ht="23.25" customHeight="1" x14ac:dyDescent="0.25">
      <c r="B92" s="736" t="s">
        <v>1171</v>
      </c>
      <c r="C92" s="736"/>
      <c r="D92" s="736"/>
      <c r="E92" s="736"/>
      <c r="F92" s="736"/>
      <c r="G92" s="736"/>
      <c r="H92" s="736"/>
      <c r="I92" s="736"/>
      <c r="J92" s="736"/>
      <c r="K92" s="736"/>
      <c r="L92" s="736"/>
      <c r="M92" s="394"/>
      <c r="N92" s="728">
        <f>IF(M90="SI",0,IF(M92="SI",8000,0))</f>
        <v>0</v>
      </c>
      <c r="O92" s="729"/>
    </row>
    <row r="93" spans="2:22" ht="14.25" customHeight="1" x14ac:dyDescent="0.25">
      <c r="O93" s="160"/>
    </row>
    <row r="94" spans="2:22" ht="23.25" customHeight="1" x14ac:dyDescent="0.25">
      <c r="M94" s="379" t="s">
        <v>1163</v>
      </c>
      <c r="N94" s="739">
        <f>SUM(N86:O92)</f>
        <v>18000</v>
      </c>
      <c r="O94" s="740"/>
    </row>
    <row r="95" spans="2:22" x14ac:dyDescent="0.25">
      <c r="O95" s="395"/>
    </row>
    <row r="188" spans="4:16" ht="22.8" x14ac:dyDescent="0.25">
      <c r="D188" s="374" t="s">
        <v>985</v>
      </c>
      <c r="E188" s="374">
        <v>2</v>
      </c>
      <c r="F188" s="374"/>
      <c r="G188" s="374" t="s">
        <v>986</v>
      </c>
      <c r="H188" s="374">
        <v>36.51</v>
      </c>
      <c r="I188" s="375">
        <v>23778</v>
      </c>
      <c r="J188" s="374">
        <v>651.27</v>
      </c>
      <c r="K188" s="377" t="s">
        <v>1158</v>
      </c>
      <c r="L188" s="378">
        <v>4000</v>
      </c>
      <c r="M188" s="377"/>
      <c r="N188" s="377"/>
      <c r="O188" s="377"/>
      <c r="P188" s="374" t="s">
        <v>987</v>
      </c>
    </row>
    <row r="189" spans="4:16" ht="22.8" x14ac:dyDescent="0.25">
      <c r="D189" s="374" t="s">
        <v>988</v>
      </c>
      <c r="E189" s="374">
        <v>1</v>
      </c>
      <c r="F189" s="374"/>
      <c r="G189" s="374" t="s">
        <v>989</v>
      </c>
      <c r="H189" s="374">
        <v>14.38</v>
      </c>
      <c r="I189" s="375">
        <v>4426</v>
      </c>
      <c r="J189" s="374">
        <v>307.79000000000002</v>
      </c>
      <c r="K189" s="377" t="s">
        <v>1158</v>
      </c>
      <c r="L189" s="378">
        <v>4000</v>
      </c>
      <c r="M189" s="377"/>
      <c r="N189" s="377"/>
      <c r="O189" s="377"/>
      <c r="P189" s="374" t="s">
        <v>987</v>
      </c>
    </row>
    <row r="190" spans="4:16" ht="22.8" x14ac:dyDescent="0.25">
      <c r="D190" s="374" t="s">
        <v>985</v>
      </c>
      <c r="E190" s="374">
        <v>6</v>
      </c>
      <c r="F190" s="374"/>
      <c r="G190" s="374" t="s">
        <v>990</v>
      </c>
      <c r="H190" s="374">
        <v>31.61</v>
      </c>
      <c r="I190" s="375">
        <v>7523</v>
      </c>
      <c r="J190" s="374">
        <v>237.99</v>
      </c>
      <c r="K190" s="377" t="s">
        <v>1158</v>
      </c>
      <c r="L190" s="378">
        <v>4000</v>
      </c>
      <c r="M190" s="377"/>
      <c r="N190" s="377"/>
      <c r="O190" s="377"/>
      <c r="P190" s="374" t="s">
        <v>987</v>
      </c>
    </row>
    <row r="191" spans="4:16" ht="22.8" x14ac:dyDescent="0.25">
      <c r="D191" s="374" t="s">
        <v>982</v>
      </c>
      <c r="E191" s="374">
        <v>3</v>
      </c>
      <c r="F191" s="374"/>
      <c r="G191" s="374" t="s">
        <v>991</v>
      </c>
      <c r="H191" s="374">
        <v>16.25</v>
      </c>
      <c r="I191" s="375">
        <v>2770</v>
      </c>
      <c r="J191" s="374">
        <v>170.46</v>
      </c>
      <c r="K191" s="377" t="s">
        <v>1158</v>
      </c>
      <c r="L191" s="378">
        <v>4000</v>
      </c>
      <c r="M191" s="377"/>
      <c r="N191" s="377"/>
      <c r="O191" s="377"/>
      <c r="P191" s="374" t="s">
        <v>987</v>
      </c>
    </row>
    <row r="192" spans="4:16" ht="22.8" x14ac:dyDescent="0.25">
      <c r="D192" s="374" t="s">
        <v>988</v>
      </c>
      <c r="E192" s="374">
        <v>3</v>
      </c>
      <c r="F192" s="374"/>
      <c r="G192" s="374" t="s">
        <v>992</v>
      </c>
      <c r="H192" s="374">
        <v>36.020000000000003</v>
      </c>
      <c r="I192" s="375">
        <v>2403</v>
      </c>
      <c r="J192" s="374">
        <v>66.709999999999994</v>
      </c>
      <c r="K192" s="377" t="s">
        <v>1158</v>
      </c>
      <c r="L192" s="378">
        <v>4000</v>
      </c>
      <c r="M192" s="377"/>
      <c r="N192" s="377"/>
      <c r="O192" s="377"/>
      <c r="P192" s="374" t="s">
        <v>987</v>
      </c>
    </row>
    <row r="193" spans="4:16" ht="22.8" x14ac:dyDescent="0.25">
      <c r="D193" s="374" t="s">
        <v>988</v>
      </c>
      <c r="E193" s="374">
        <v>5</v>
      </c>
      <c r="F193" s="374"/>
      <c r="G193" s="374" t="s">
        <v>993</v>
      </c>
      <c r="H193" s="374">
        <v>9.33</v>
      </c>
      <c r="I193" s="374">
        <v>942</v>
      </c>
      <c r="J193" s="374">
        <v>100.96</v>
      </c>
      <c r="K193" s="377" t="s">
        <v>1158</v>
      </c>
      <c r="L193" s="378">
        <v>4000</v>
      </c>
      <c r="M193" s="377"/>
      <c r="N193" s="377"/>
      <c r="O193" s="377"/>
      <c r="P193" s="374" t="s">
        <v>987</v>
      </c>
    </row>
    <row r="194" spans="4:16" ht="45.6" x14ac:dyDescent="0.25">
      <c r="D194" s="374" t="s">
        <v>985</v>
      </c>
      <c r="E194" s="374">
        <v>12</v>
      </c>
      <c r="F194" s="374"/>
      <c r="G194" s="374" t="s">
        <v>994</v>
      </c>
      <c r="H194" s="374">
        <v>5.34</v>
      </c>
      <c r="I194" s="375">
        <v>5050</v>
      </c>
      <c r="J194" s="374">
        <v>945.69</v>
      </c>
      <c r="K194" s="377" t="s">
        <v>1158</v>
      </c>
      <c r="L194" s="378">
        <v>4000</v>
      </c>
      <c r="M194" s="377"/>
      <c r="N194" s="377"/>
      <c r="O194" s="377"/>
      <c r="P194" s="374" t="s">
        <v>987</v>
      </c>
    </row>
    <row r="195" spans="4:16" ht="22.8" x14ac:dyDescent="0.25">
      <c r="D195" s="374" t="s">
        <v>982</v>
      </c>
      <c r="E195" s="374">
        <v>6</v>
      </c>
      <c r="F195" s="374"/>
      <c r="G195" s="374" t="s">
        <v>995</v>
      </c>
      <c r="H195" s="374">
        <v>17.12</v>
      </c>
      <c r="I195" s="375">
        <v>5709</v>
      </c>
      <c r="J195" s="374">
        <v>333.47</v>
      </c>
      <c r="K195" s="377" t="s">
        <v>1158</v>
      </c>
      <c r="L195" s="378">
        <v>4000</v>
      </c>
      <c r="M195" s="377"/>
      <c r="N195" s="377"/>
      <c r="O195" s="377"/>
      <c r="P195" s="374" t="s">
        <v>987</v>
      </c>
    </row>
    <row r="196" spans="4:16" ht="22.8" x14ac:dyDescent="0.25">
      <c r="D196" s="374" t="s">
        <v>985</v>
      </c>
      <c r="E196" s="374">
        <v>16</v>
      </c>
      <c r="F196" s="374"/>
      <c r="G196" s="374" t="s">
        <v>996</v>
      </c>
      <c r="H196" s="374">
        <v>19.36</v>
      </c>
      <c r="I196" s="375">
        <v>1727</v>
      </c>
      <c r="J196" s="374">
        <v>89.2</v>
      </c>
      <c r="K196" s="377" t="s">
        <v>1158</v>
      </c>
      <c r="L196" s="378">
        <v>4000</v>
      </c>
      <c r="M196" s="377"/>
      <c r="N196" s="377"/>
      <c r="O196" s="377"/>
      <c r="P196" s="374" t="s">
        <v>987</v>
      </c>
    </row>
    <row r="197" spans="4:16" ht="22.8" x14ac:dyDescent="0.25">
      <c r="D197" s="374" t="s">
        <v>997</v>
      </c>
      <c r="E197" s="374">
        <v>11</v>
      </c>
      <c r="F197" s="374"/>
      <c r="G197" s="374" t="s">
        <v>998</v>
      </c>
      <c r="H197" s="374">
        <v>17.64</v>
      </c>
      <c r="I197" s="375">
        <v>5423</v>
      </c>
      <c r="J197" s="374">
        <v>307.43</v>
      </c>
      <c r="K197" s="377" t="s">
        <v>1158</v>
      </c>
      <c r="L197" s="378">
        <v>4000</v>
      </c>
      <c r="M197" s="377"/>
      <c r="N197" s="377"/>
      <c r="O197" s="377"/>
      <c r="P197" s="374" t="s">
        <v>987</v>
      </c>
    </row>
    <row r="198" spans="4:16" ht="22.8" x14ac:dyDescent="0.25">
      <c r="D198" s="374" t="s">
        <v>985</v>
      </c>
      <c r="E198" s="374">
        <v>18</v>
      </c>
      <c r="F198" s="374"/>
      <c r="G198" s="374" t="s">
        <v>999</v>
      </c>
      <c r="H198" s="374">
        <v>10.36</v>
      </c>
      <c r="I198" s="375">
        <v>5587</v>
      </c>
      <c r="J198" s="374">
        <v>539.29</v>
      </c>
      <c r="K198" s="377" t="s">
        <v>1158</v>
      </c>
      <c r="L198" s="378">
        <v>4000</v>
      </c>
      <c r="M198" s="377"/>
      <c r="N198" s="377"/>
      <c r="O198" s="377"/>
      <c r="P198" s="374" t="s">
        <v>987</v>
      </c>
    </row>
    <row r="199" spans="4:16" ht="34.200000000000003" x14ac:dyDescent="0.25">
      <c r="D199" s="374" t="s">
        <v>982</v>
      </c>
      <c r="E199" s="374">
        <v>11</v>
      </c>
      <c r="F199" s="374"/>
      <c r="G199" s="374" t="s">
        <v>1000</v>
      </c>
      <c r="H199" s="374">
        <v>27.36</v>
      </c>
      <c r="I199" s="375">
        <v>6756</v>
      </c>
      <c r="J199" s="374">
        <v>246.93</v>
      </c>
      <c r="K199" s="377" t="s">
        <v>1158</v>
      </c>
      <c r="L199" s="378">
        <v>4000</v>
      </c>
      <c r="M199" s="377"/>
      <c r="N199" s="377"/>
      <c r="O199" s="377"/>
      <c r="P199" s="374" t="s">
        <v>987</v>
      </c>
    </row>
    <row r="200" spans="4:16" ht="22.8" x14ac:dyDescent="0.25">
      <c r="D200" s="374" t="s">
        <v>997</v>
      </c>
      <c r="E200" s="374">
        <v>14</v>
      </c>
      <c r="F200" s="374"/>
      <c r="G200" s="374" t="s">
        <v>1001</v>
      </c>
      <c r="H200" s="374">
        <v>8.69</v>
      </c>
      <c r="I200" s="375">
        <v>1261</v>
      </c>
      <c r="J200" s="374">
        <v>145.11000000000001</v>
      </c>
      <c r="K200" s="377" t="s">
        <v>1158</v>
      </c>
      <c r="L200" s="378">
        <v>4000</v>
      </c>
      <c r="M200" s="377"/>
      <c r="N200" s="377"/>
      <c r="O200" s="377"/>
      <c r="P200" s="374" t="s">
        <v>987</v>
      </c>
    </row>
    <row r="201" spans="4:16" x14ac:dyDescent="0.25">
      <c r="D201" s="374" t="s">
        <v>985</v>
      </c>
      <c r="E201" s="374">
        <v>23</v>
      </c>
      <c r="F201" s="374"/>
      <c r="G201" s="374" t="s">
        <v>1002</v>
      </c>
      <c r="H201" s="374">
        <v>18.79</v>
      </c>
      <c r="I201" s="375">
        <v>3682</v>
      </c>
      <c r="J201" s="374">
        <v>195.96</v>
      </c>
      <c r="K201" s="377" t="s">
        <v>1158</v>
      </c>
      <c r="L201" s="378">
        <v>4000</v>
      </c>
      <c r="M201" s="377"/>
      <c r="N201" s="377"/>
      <c r="O201" s="377"/>
      <c r="P201" s="374" t="s">
        <v>987</v>
      </c>
    </row>
    <row r="202" spans="4:16" ht="22.8" x14ac:dyDescent="0.25">
      <c r="D202" s="374" t="s">
        <v>985</v>
      </c>
      <c r="E202" s="374">
        <v>24</v>
      </c>
      <c r="F202" s="374"/>
      <c r="G202" s="374" t="s">
        <v>1003</v>
      </c>
      <c r="H202" s="374">
        <v>11.21</v>
      </c>
      <c r="I202" s="375">
        <v>5786</v>
      </c>
      <c r="J202" s="374">
        <v>516.15</v>
      </c>
      <c r="K202" s="377" t="s">
        <v>1158</v>
      </c>
      <c r="L202" s="378">
        <v>4000</v>
      </c>
      <c r="M202" s="377"/>
      <c r="N202" s="377"/>
      <c r="O202" s="377"/>
      <c r="P202" s="374" t="s">
        <v>987</v>
      </c>
    </row>
    <row r="203" spans="4:16" x14ac:dyDescent="0.25">
      <c r="D203" s="374" t="s">
        <v>997</v>
      </c>
      <c r="E203" s="374">
        <v>17</v>
      </c>
      <c r="F203" s="374"/>
      <c r="G203" s="374" t="s">
        <v>1004</v>
      </c>
      <c r="H203" s="374">
        <v>3.36</v>
      </c>
      <c r="I203" s="375">
        <v>1155</v>
      </c>
      <c r="J203" s="374">
        <v>343.75</v>
      </c>
      <c r="K203" s="377" t="s">
        <v>1158</v>
      </c>
      <c r="L203" s="378">
        <v>4000</v>
      </c>
      <c r="M203" s="377"/>
      <c r="N203" s="377"/>
      <c r="O203" s="377"/>
      <c r="P203" s="374" t="s">
        <v>987</v>
      </c>
    </row>
    <row r="204" spans="4:16" ht="22.8" x14ac:dyDescent="0.25">
      <c r="D204" s="374" t="s">
        <v>982</v>
      </c>
      <c r="E204" s="374">
        <v>16</v>
      </c>
      <c r="F204" s="374"/>
      <c r="G204" s="374" t="s">
        <v>1005</v>
      </c>
      <c r="H204" s="374">
        <v>11.54</v>
      </c>
      <c r="I204" s="375">
        <v>2548</v>
      </c>
      <c r="J204" s="374">
        <v>220.8</v>
      </c>
      <c r="K204" s="377" t="s">
        <v>1158</v>
      </c>
      <c r="L204" s="378">
        <v>4000</v>
      </c>
      <c r="M204" s="377"/>
      <c r="N204" s="377"/>
      <c r="O204" s="377"/>
      <c r="P204" s="374" t="s">
        <v>987</v>
      </c>
    </row>
    <row r="205" spans="4:16" x14ac:dyDescent="0.25">
      <c r="D205" s="374" t="s">
        <v>997</v>
      </c>
      <c r="E205" s="374">
        <v>22</v>
      </c>
      <c r="F205" s="374"/>
      <c r="G205" s="374" t="s">
        <v>1006</v>
      </c>
      <c r="H205" s="374">
        <v>3.83</v>
      </c>
      <c r="I205" s="374">
        <v>627</v>
      </c>
      <c r="J205" s="374">
        <v>163.71</v>
      </c>
      <c r="K205" s="377" t="s">
        <v>1158</v>
      </c>
      <c r="L205" s="378">
        <v>4000</v>
      </c>
      <c r="M205" s="377"/>
      <c r="N205" s="377"/>
      <c r="O205" s="377"/>
      <c r="P205" s="374" t="s">
        <v>987</v>
      </c>
    </row>
    <row r="206" spans="4:16" ht="22.8" x14ac:dyDescent="0.25">
      <c r="D206" s="374" t="s">
        <v>982</v>
      </c>
      <c r="E206" s="374">
        <v>20</v>
      </c>
      <c r="F206" s="374"/>
      <c r="G206" s="374" t="s">
        <v>1007</v>
      </c>
      <c r="H206" s="374">
        <v>11.56</v>
      </c>
      <c r="I206" s="374">
        <v>548</v>
      </c>
      <c r="J206" s="374">
        <v>47.4</v>
      </c>
      <c r="K206" s="377" t="s">
        <v>1158</v>
      </c>
      <c r="L206" s="378">
        <v>4000</v>
      </c>
      <c r="M206" s="377"/>
      <c r="N206" s="377"/>
      <c r="O206" s="377"/>
      <c r="P206" s="374" t="s">
        <v>987</v>
      </c>
    </row>
    <row r="207" spans="4:16" ht="22.8" x14ac:dyDescent="0.25">
      <c r="D207" s="374" t="s">
        <v>982</v>
      </c>
      <c r="E207" s="374">
        <v>21</v>
      </c>
      <c r="F207" s="374"/>
      <c r="G207" s="374" t="s">
        <v>1008</v>
      </c>
      <c r="H207" s="374">
        <v>22.1</v>
      </c>
      <c r="I207" s="375">
        <v>1924</v>
      </c>
      <c r="J207" s="374">
        <v>87.06</v>
      </c>
      <c r="K207" s="377" t="s">
        <v>1158</v>
      </c>
      <c r="L207" s="378">
        <v>4000</v>
      </c>
      <c r="M207" s="377"/>
      <c r="N207" s="377"/>
      <c r="O207" s="377"/>
      <c r="P207" s="374" t="s">
        <v>987</v>
      </c>
    </row>
    <row r="208" spans="4:16" ht="22.8" x14ac:dyDescent="0.25">
      <c r="D208" s="374" t="s">
        <v>997</v>
      </c>
      <c r="E208" s="374">
        <v>29</v>
      </c>
      <c r="F208" s="374"/>
      <c r="G208" s="374" t="s">
        <v>1009</v>
      </c>
      <c r="H208" s="374">
        <v>20.23</v>
      </c>
      <c r="I208" s="375">
        <v>1999</v>
      </c>
      <c r="J208" s="374">
        <v>98.81</v>
      </c>
      <c r="K208" s="377" t="s">
        <v>1158</v>
      </c>
      <c r="L208" s="378">
        <v>4000</v>
      </c>
      <c r="M208" s="377"/>
      <c r="N208" s="377"/>
      <c r="O208" s="377"/>
      <c r="P208" s="374" t="s">
        <v>987</v>
      </c>
    </row>
    <row r="209" spans="4:16" ht="22.8" x14ac:dyDescent="0.25">
      <c r="D209" s="374" t="s">
        <v>997</v>
      </c>
      <c r="E209" s="374">
        <v>30</v>
      </c>
      <c r="F209" s="374"/>
      <c r="G209" s="374" t="s">
        <v>1010</v>
      </c>
      <c r="H209" s="374">
        <v>19.32</v>
      </c>
      <c r="I209" s="375">
        <v>1477</v>
      </c>
      <c r="J209" s="374">
        <v>76.45</v>
      </c>
      <c r="K209" s="377" t="s">
        <v>1158</v>
      </c>
      <c r="L209" s="378">
        <v>4000</v>
      </c>
      <c r="M209" s="377"/>
      <c r="N209" s="377"/>
      <c r="O209" s="377"/>
      <c r="P209" s="374" t="s">
        <v>987</v>
      </c>
    </row>
    <row r="210" spans="4:16" x14ac:dyDescent="0.25">
      <c r="D210" s="374" t="s">
        <v>988</v>
      </c>
      <c r="E210" s="374">
        <v>13</v>
      </c>
      <c r="F210" s="374"/>
      <c r="G210" s="374" t="s">
        <v>1011</v>
      </c>
      <c r="H210" s="374">
        <v>23.12</v>
      </c>
      <c r="I210" s="375">
        <v>6422</v>
      </c>
      <c r="J210" s="374">
        <v>277.77</v>
      </c>
      <c r="K210" s="377" t="s">
        <v>1158</v>
      </c>
      <c r="L210" s="378">
        <v>4000</v>
      </c>
      <c r="M210" s="377"/>
      <c r="N210" s="377"/>
      <c r="O210" s="377"/>
      <c r="P210" s="374" t="s">
        <v>987</v>
      </c>
    </row>
    <row r="211" spans="4:16" ht="22.8" x14ac:dyDescent="0.25">
      <c r="D211" s="374" t="s">
        <v>988</v>
      </c>
      <c r="E211" s="374">
        <v>14</v>
      </c>
      <c r="F211" s="374"/>
      <c r="G211" s="374" t="s">
        <v>1012</v>
      </c>
      <c r="H211" s="374">
        <v>18.920000000000002</v>
      </c>
      <c r="I211" s="374">
        <v>677</v>
      </c>
      <c r="J211" s="374">
        <v>35.78</v>
      </c>
      <c r="K211" s="377" t="s">
        <v>1158</v>
      </c>
      <c r="L211" s="378">
        <v>4000</v>
      </c>
      <c r="M211" s="377"/>
      <c r="N211" s="377"/>
      <c r="O211" s="377"/>
      <c r="P211" s="374" t="s">
        <v>987</v>
      </c>
    </row>
    <row r="212" spans="4:16" ht="22.8" x14ac:dyDescent="0.25">
      <c r="D212" s="374" t="s">
        <v>985</v>
      </c>
      <c r="E212" s="374">
        <v>30</v>
      </c>
      <c r="F212" s="374"/>
      <c r="G212" s="374" t="s">
        <v>1013</v>
      </c>
      <c r="H212" s="374">
        <v>8.26</v>
      </c>
      <c r="I212" s="375">
        <v>1200</v>
      </c>
      <c r="J212" s="374">
        <v>145.28</v>
      </c>
      <c r="K212" s="377" t="s">
        <v>1158</v>
      </c>
      <c r="L212" s="378">
        <v>4000</v>
      </c>
      <c r="M212" s="377"/>
      <c r="N212" s="377"/>
      <c r="O212" s="377"/>
      <c r="P212" s="374" t="s">
        <v>987</v>
      </c>
    </row>
    <row r="213" spans="4:16" ht="45.6" x14ac:dyDescent="0.25">
      <c r="D213" s="374" t="s">
        <v>982</v>
      </c>
      <c r="E213" s="374">
        <v>27</v>
      </c>
      <c r="F213" s="374"/>
      <c r="G213" s="374" t="s">
        <v>1014</v>
      </c>
      <c r="H213" s="374">
        <v>47.8</v>
      </c>
      <c r="I213" s="375">
        <v>1542</v>
      </c>
      <c r="J213" s="374">
        <v>32.26</v>
      </c>
      <c r="K213" s="377" t="s">
        <v>1158</v>
      </c>
      <c r="L213" s="378">
        <v>4000</v>
      </c>
      <c r="M213" s="377"/>
      <c r="N213" s="377"/>
      <c r="O213" s="377"/>
      <c r="P213" s="374" t="s">
        <v>987</v>
      </c>
    </row>
    <row r="214" spans="4:16" ht="22.8" x14ac:dyDescent="0.25">
      <c r="D214" s="374" t="s">
        <v>985</v>
      </c>
      <c r="E214" s="374">
        <v>33</v>
      </c>
      <c r="F214" s="374"/>
      <c r="G214" s="374" t="s">
        <v>1015</v>
      </c>
      <c r="H214" s="374">
        <v>2.78</v>
      </c>
      <c r="I214" s="375">
        <v>1738</v>
      </c>
      <c r="J214" s="374">
        <v>625.17999999999995</v>
      </c>
      <c r="K214" s="377" t="s">
        <v>1158</v>
      </c>
      <c r="L214" s="378">
        <v>4000</v>
      </c>
      <c r="M214" s="377"/>
      <c r="N214" s="377"/>
      <c r="O214" s="377"/>
      <c r="P214" s="374" t="s">
        <v>987</v>
      </c>
    </row>
    <row r="215" spans="4:16" ht="22.8" x14ac:dyDescent="0.25">
      <c r="D215" s="374" t="s">
        <v>982</v>
      </c>
      <c r="E215" s="374">
        <v>32</v>
      </c>
      <c r="F215" s="374"/>
      <c r="G215" s="374" t="s">
        <v>1016</v>
      </c>
      <c r="H215" s="374">
        <v>29.82</v>
      </c>
      <c r="I215" s="375">
        <v>3750</v>
      </c>
      <c r="J215" s="374">
        <v>125.75</v>
      </c>
      <c r="K215" s="377" t="s">
        <v>1158</v>
      </c>
      <c r="L215" s="378">
        <v>4000</v>
      </c>
      <c r="M215" s="377"/>
      <c r="N215" s="377"/>
      <c r="O215" s="377"/>
      <c r="P215" s="374" t="s">
        <v>987</v>
      </c>
    </row>
    <row r="216" spans="4:16" ht="22.8" x14ac:dyDescent="0.25">
      <c r="D216" s="374" t="s">
        <v>985</v>
      </c>
      <c r="E216" s="374">
        <v>38</v>
      </c>
      <c r="F216" s="374"/>
      <c r="G216" s="374" t="s">
        <v>1017</v>
      </c>
      <c r="H216" s="374">
        <v>15.87</v>
      </c>
      <c r="I216" s="375">
        <v>3472</v>
      </c>
      <c r="J216" s="374">
        <v>218.78</v>
      </c>
      <c r="K216" s="377" t="s">
        <v>1158</v>
      </c>
      <c r="L216" s="378">
        <v>4000</v>
      </c>
      <c r="M216" s="377"/>
      <c r="N216" s="377"/>
      <c r="O216" s="377"/>
      <c r="P216" s="374" t="s">
        <v>987</v>
      </c>
    </row>
    <row r="217" spans="4:16" ht="22.8" x14ac:dyDescent="0.25">
      <c r="D217" s="374" t="s">
        <v>982</v>
      </c>
      <c r="E217" s="374">
        <v>39</v>
      </c>
      <c r="F217" s="374"/>
      <c r="G217" s="374" t="s">
        <v>983</v>
      </c>
      <c r="H217" s="374">
        <v>46.33</v>
      </c>
      <c r="I217" s="375">
        <v>2044</v>
      </c>
      <c r="J217" s="374">
        <v>44.12</v>
      </c>
      <c r="K217" s="377" t="s">
        <v>1158</v>
      </c>
      <c r="L217" s="378">
        <v>4000</v>
      </c>
      <c r="M217" s="377"/>
      <c r="N217" s="377"/>
      <c r="O217" s="377"/>
      <c r="P217" s="374" t="s">
        <v>984</v>
      </c>
    </row>
    <row r="218" spans="4:16" x14ac:dyDescent="0.25">
      <c r="D218" s="374" t="s">
        <v>982</v>
      </c>
      <c r="E218" s="374">
        <v>40</v>
      </c>
      <c r="F218" s="374"/>
      <c r="G218" s="374" t="s">
        <v>1018</v>
      </c>
      <c r="H218" s="374">
        <v>64.05</v>
      </c>
      <c r="I218" s="375">
        <v>2348</v>
      </c>
      <c r="J218" s="374">
        <v>36.659999999999997</v>
      </c>
      <c r="K218" s="377" t="s">
        <v>1158</v>
      </c>
      <c r="L218" s="378">
        <v>4000</v>
      </c>
      <c r="M218" s="377"/>
      <c r="N218" s="377"/>
      <c r="O218" s="377"/>
      <c r="P218" s="374" t="s">
        <v>987</v>
      </c>
    </row>
    <row r="219" spans="4:16" ht="22.8" x14ac:dyDescent="0.25">
      <c r="D219" s="374" t="s">
        <v>988</v>
      </c>
      <c r="E219" s="374">
        <v>20</v>
      </c>
      <c r="F219" s="374"/>
      <c r="G219" s="374" t="s">
        <v>1019</v>
      </c>
      <c r="H219" s="374">
        <v>13.81</v>
      </c>
      <c r="I219" s="375">
        <v>8393</v>
      </c>
      <c r="J219" s="374">
        <v>607.75</v>
      </c>
      <c r="K219" s="377" t="s">
        <v>1158</v>
      </c>
      <c r="L219" s="378">
        <v>4000</v>
      </c>
      <c r="M219" s="377"/>
      <c r="N219" s="377"/>
      <c r="O219" s="377"/>
      <c r="P219" s="374" t="s">
        <v>987</v>
      </c>
    </row>
    <row r="220" spans="4:16" ht="22.8" x14ac:dyDescent="0.25">
      <c r="D220" s="374" t="s">
        <v>985</v>
      </c>
      <c r="E220" s="374">
        <v>45</v>
      </c>
      <c r="F220" s="374"/>
      <c r="G220" s="374" t="s">
        <v>1020</v>
      </c>
      <c r="H220" s="374">
        <v>9.83</v>
      </c>
      <c r="I220" s="375">
        <v>1639</v>
      </c>
      <c r="J220" s="374">
        <v>166.73</v>
      </c>
      <c r="K220" s="377" t="s">
        <v>1158</v>
      </c>
      <c r="L220" s="378">
        <v>4000</v>
      </c>
      <c r="M220" s="377"/>
      <c r="N220" s="377"/>
      <c r="O220" s="377"/>
      <c r="P220" s="374" t="s">
        <v>987</v>
      </c>
    </row>
    <row r="221" spans="4:16" ht="22.8" x14ac:dyDescent="0.25">
      <c r="D221" s="374" t="s">
        <v>997</v>
      </c>
      <c r="E221" s="374">
        <v>44</v>
      </c>
      <c r="F221" s="374"/>
      <c r="G221" s="374" t="s">
        <v>1021</v>
      </c>
      <c r="H221" s="374">
        <v>5.39</v>
      </c>
      <c r="I221" s="374">
        <v>837</v>
      </c>
      <c r="J221" s="374">
        <v>155.29</v>
      </c>
      <c r="K221" s="377" t="s">
        <v>1158</v>
      </c>
      <c r="L221" s="378">
        <v>4000</v>
      </c>
      <c r="M221" s="377"/>
      <c r="N221" s="377"/>
      <c r="O221" s="377"/>
      <c r="P221" s="374" t="s">
        <v>987</v>
      </c>
    </row>
    <row r="222" spans="4:16" ht="34.200000000000003" x14ac:dyDescent="0.25">
      <c r="D222" s="374" t="s">
        <v>988</v>
      </c>
      <c r="E222" s="374">
        <v>22</v>
      </c>
      <c r="F222" s="374"/>
      <c r="G222" s="374" t="s">
        <v>1022</v>
      </c>
      <c r="H222" s="374">
        <v>7.68</v>
      </c>
      <c r="I222" s="375">
        <v>3637</v>
      </c>
      <c r="J222" s="374">
        <v>473.57</v>
      </c>
      <c r="K222" s="377" t="s">
        <v>1158</v>
      </c>
      <c r="L222" s="378">
        <v>4000</v>
      </c>
      <c r="M222" s="377"/>
      <c r="N222" s="377"/>
      <c r="O222" s="377"/>
      <c r="P222" s="374" t="s">
        <v>987</v>
      </c>
    </row>
    <row r="223" spans="4:16" ht="22.8" x14ac:dyDescent="0.25">
      <c r="D223" s="374" t="s">
        <v>985</v>
      </c>
      <c r="E223" s="374">
        <v>52</v>
      </c>
      <c r="F223" s="374"/>
      <c r="G223" s="374" t="s">
        <v>1023</v>
      </c>
      <c r="H223" s="374">
        <v>49.46</v>
      </c>
      <c r="I223" s="375">
        <v>7333</v>
      </c>
      <c r="J223" s="374">
        <v>148.26</v>
      </c>
      <c r="K223" s="377" t="s">
        <v>1158</v>
      </c>
      <c r="L223" s="378">
        <v>4000</v>
      </c>
      <c r="M223" s="377"/>
      <c r="N223" s="377"/>
      <c r="O223" s="377"/>
      <c r="P223" s="374" t="s">
        <v>987</v>
      </c>
    </row>
    <row r="224" spans="4:16" ht="57" x14ac:dyDescent="0.25">
      <c r="D224" s="374" t="s">
        <v>988</v>
      </c>
      <c r="E224" s="374">
        <v>23</v>
      </c>
      <c r="F224" s="374"/>
      <c r="G224" s="374" t="s">
        <v>1024</v>
      </c>
      <c r="H224" s="374">
        <v>36.92</v>
      </c>
      <c r="I224" s="375">
        <v>3563</v>
      </c>
      <c r="J224" s="374">
        <v>96.51</v>
      </c>
      <c r="K224" s="377" t="s">
        <v>1158</v>
      </c>
      <c r="L224" s="378">
        <v>4000</v>
      </c>
      <c r="M224" s="377"/>
      <c r="N224" s="377"/>
      <c r="O224" s="377"/>
      <c r="P224" s="374" t="s">
        <v>987</v>
      </c>
    </row>
    <row r="225" spans="4:16" ht="22.8" x14ac:dyDescent="0.25">
      <c r="D225" s="374" t="s">
        <v>988</v>
      </c>
      <c r="E225" s="374">
        <v>24</v>
      </c>
      <c r="F225" s="374"/>
      <c r="G225" s="374" t="s">
        <v>1025</v>
      </c>
      <c r="H225" s="374">
        <v>10.26</v>
      </c>
      <c r="I225" s="375">
        <v>1626</v>
      </c>
      <c r="J225" s="374">
        <v>158.47999999999999</v>
      </c>
      <c r="K225" s="377" t="s">
        <v>1158</v>
      </c>
      <c r="L225" s="378">
        <v>4000</v>
      </c>
      <c r="M225" s="377"/>
      <c r="N225" s="377"/>
      <c r="O225" s="377"/>
      <c r="P225" s="374" t="s">
        <v>987</v>
      </c>
    </row>
    <row r="226" spans="4:16" ht="22.8" x14ac:dyDescent="0.25">
      <c r="D226" s="374" t="s">
        <v>997</v>
      </c>
      <c r="E226" s="374">
        <v>50</v>
      </c>
      <c r="F226" s="374"/>
      <c r="G226" s="374" t="s">
        <v>1026</v>
      </c>
      <c r="H226" s="374">
        <v>2.11</v>
      </c>
      <c r="I226" s="375">
        <v>2925</v>
      </c>
      <c r="J226" s="376">
        <v>1386.26</v>
      </c>
      <c r="K226" s="377" t="s">
        <v>1158</v>
      </c>
      <c r="L226" s="378">
        <v>4000</v>
      </c>
      <c r="M226" s="377"/>
      <c r="N226" s="377"/>
      <c r="O226" s="377"/>
      <c r="P226" s="374" t="s">
        <v>987</v>
      </c>
    </row>
    <row r="227" spans="4:16" ht="22.8" x14ac:dyDescent="0.25">
      <c r="D227" s="374" t="s">
        <v>982</v>
      </c>
      <c r="E227" s="374">
        <v>49</v>
      </c>
      <c r="F227" s="374"/>
      <c r="G227" s="374" t="s">
        <v>1027</v>
      </c>
      <c r="H227" s="374">
        <v>30.5</v>
      </c>
      <c r="I227" s="375">
        <v>4536</v>
      </c>
      <c r="J227" s="374">
        <v>148.72</v>
      </c>
      <c r="K227" s="377" t="s">
        <v>1158</v>
      </c>
      <c r="L227" s="378">
        <v>4000</v>
      </c>
      <c r="M227" s="377"/>
      <c r="N227" s="377"/>
      <c r="O227" s="377"/>
      <c r="P227" s="374" t="s">
        <v>987</v>
      </c>
    </row>
    <row r="228" spans="4:16" ht="22.8" x14ac:dyDescent="0.25">
      <c r="D228" s="374" t="s">
        <v>982</v>
      </c>
      <c r="E228" s="374">
        <v>51</v>
      </c>
      <c r="F228" s="374"/>
      <c r="G228" s="374" t="s">
        <v>1028</v>
      </c>
      <c r="H228" s="374">
        <v>47.2</v>
      </c>
      <c r="I228" s="375">
        <v>2915</v>
      </c>
      <c r="J228" s="374">
        <v>61.76</v>
      </c>
      <c r="K228" s="377" t="s">
        <v>1158</v>
      </c>
      <c r="L228" s="378">
        <v>4000</v>
      </c>
      <c r="M228" s="377"/>
      <c r="N228" s="377"/>
      <c r="O228" s="377"/>
      <c r="P228" s="374" t="s">
        <v>987</v>
      </c>
    </row>
    <row r="229" spans="4:16" ht="57" x14ac:dyDescent="0.25">
      <c r="D229" s="374" t="s">
        <v>997</v>
      </c>
      <c r="E229" s="374">
        <v>52</v>
      </c>
      <c r="F229" s="374"/>
      <c r="G229" s="374" t="s">
        <v>1029</v>
      </c>
      <c r="H229" s="374">
        <v>10.92</v>
      </c>
      <c r="I229" s="375">
        <v>3088</v>
      </c>
      <c r="J229" s="374">
        <v>282.77999999999997</v>
      </c>
      <c r="K229" s="377" t="s">
        <v>1158</v>
      </c>
      <c r="L229" s="378">
        <v>4000</v>
      </c>
      <c r="M229" s="377"/>
      <c r="N229" s="377"/>
      <c r="O229" s="377"/>
      <c r="P229" s="374" t="s">
        <v>987</v>
      </c>
    </row>
    <row r="230" spans="4:16" ht="45.6" x14ac:dyDescent="0.25">
      <c r="D230" s="374" t="s">
        <v>997</v>
      </c>
      <c r="E230" s="374">
        <v>53</v>
      </c>
      <c r="F230" s="374"/>
      <c r="G230" s="374" t="s">
        <v>1030</v>
      </c>
      <c r="H230" s="374">
        <v>4.5999999999999996</v>
      </c>
      <c r="I230" s="375">
        <v>1266</v>
      </c>
      <c r="J230" s="374">
        <v>275.22000000000003</v>
      </c>
      <c r="K230" s="377" t="s">
        <v>1158</v>
      </c>
      <c r="L230" s="378">
        <v>4000</v>
      </c>
      <c r="M230" s="377"/>
      <c r="N230" s="377"/>
      <c r="O230" s="377"/>
      <c r="P230" s="374" t="s">
        <v>987</v>
      </c>
    </row>
    <row r="231" spans="4:16" ht="22.8" x14ac:dyDescent="0.25">
      <c r="D231" s="374" t="s">
        <v>982</v>
      </c>
      <c r="E231" s="374">
        <v>57</v>
      </c>
      <c r="F231" s="374"/>
      <c r="G231" s="374" t="s">
        <v>1031</v>
      </c>
      <c r="H231" s="374">
        <v>21.78</v>
      </c>
      <c r="I231" s="375">
        <v>3216</v>
      </c>
      <c r="J231" s="374">
        <v>147.66</v>
      </c>
      <c r="K231" s="377" t="s">
        <v>1158</v>
      </c>
      <c r="L231" s="378">
        <v>4000</v>
      </c>
      <c r="M231" s="377"/>
      <c r="N231" s="377"/>
      <c r="O231" s="377"/>
      <c r="P231" s="374" t="s">
        <v>987</v>
      </c>
    </row>
    <row r="232" spans="4:16" ht="22.8" x14ac:dyDescent="0.25">
      <c r="D232" s="374" t="s">
        <v>997</v>
      </c>
      <c r="E232" s="374">
        <v>58</v>
      </c>
      <c r="F232" s="374"/>
      <c r="G232" s="374" t="s">
        <v>1032</v>
      </c>
      <c r="H232" s="374">
        <v>3.58</v>
      </c>
      <c r="I232" s="375">
        <v>1005</v>
      </c>
      <c r="J232" s="374">
        <v>280.73</v>
      </c>
      <c r="K232" s="377" t="s">
        <v>1158</v>
      </c>
      <c r="L232" s="378">
        <v>4000</v>
      </c>
      <c r="M232" s="377"/>
      <c r="N232" s="377"/>
      <c r="O232" s="377"/>
      <c r="P232" s="374" t="s">
        <v>987</v>
      </c>
    </row>
    <row r="233" spans="4:16" x14ac:dyDescent="0.25">
      <c r="D233" s="374" t="s">
        <v>985</v>
      </c>
      <c r="E233" s="374">
        <v>58</v>
      </c>
      <c r="F233" s="374"/>
      <c r="G233" s="374" t="s">
        <v>1033</v>
      </c>
      <c r="H233" s="374">
        <v>43.26</v>
      </c>
      <c r="I233" s="375">
        <v>3067</v>
      </c>
      <c r="J233" s="374">
        <v>70.900000000000006</v>
      </c>
      <c r="K233" s="377" t="s">
        <v>1158</v>
      </c>
      <c r="L233" s="378">
        <v>4000</v>
      </c>
      <c r="M233" s="377"/>
      <c r="N233" s="377"/>
      <c r="O233" s="377"/>
      <c r="P233" s="374" t="s">
        <v>987</v>
      </c>
    </row>
    <row r="234" spans="4:16" x14ac:dyDescent="0.25">
      <c r="D234" s="374" t="s">
        <v>997</v>
      </c>
      <c r="E234" s="374">
        <v>59</v>
      </c>
      <c r="F234" s="374"/>
      <c r="G234" s="374" t="s">
        <v>1034</v>
      </c>
      <c r="H234" s="374">
        <v>30.89</v>
      </c>
      <c r="I234" s="375">
        <v>14012</v>
      </c>
      <c r="J234" s="374">
        <v>453.61</v>
      </c>
      <c r="K234" s="377" t="s">
        <v>1158</v>
      </c>
      <c r="L234" s="378">
        <v>4000</v>
      </c>
      <c r="M234" s="377"/>
      <c r="N234" s="377"/>
      <c r="O234" s="377"/>
      <c r="P234" s="374" t="s">
        <v>987</v>
      </c>
    </row>
    <row r="235" spans="4:16" ht="22.8" x14ac:dyDescent="0.25">
      <c r="D235" s="374" t="s">
        <v>982</v>
      </c>
      <c r="E235" s="374">
        <v>62</v>
      </c>
      <c r="F235" s="374"/>
      <c r="G235" s="374" t="s">
        <v>1035</v>
      </c>
      <c r="H235" s="374">
        <v>58.81</v>
      </c>
      <c r="I235" s="375">
        <v>2395</v>
      </c>
      <c r="J235" s="374">
        <v>40.72</v>
      </c>
      <c r="K235" s="377" t="s">
        <v>1158</v>
      </c>
      <c r="L235" s="378">
        <v>4000</v>
      </c>
      <c r="M235" s="377"/>
      <c r="N235" s="377"/>
      <c r="O235" s="377"/>
      <c r="P235" s="374" t="s">
        <v>987</v>
      </c>
    </row>
    <row r="236" spans="4:16" ht="22.8" x14ac:dyDescent="0.25">
      <c r="D236" s="374" t="s">
        <v>997</v>
      </c>
      <c r="E236" s="374">
        <v>63</v>
      </c>
      <c r="F236" s="374"/>
      <c r="G236" s="374" t="s">
        <v>1036</v>
      </c>
      <c r="H236" s="374">
        <v>3.56</v>
      </c>
      <c r="I236" s="375">
        <v>6998</v>
      </c>
      <c r="J236" s="376">
        <v>1965.73</v>
      </c>
      <c r="K236" s="377" t="s">
        <v>1158</v>
      </c>
      <c r="L236" s="378">
        <v>4000</v>
      </c>
      <c r="M236" s="377"/>
      <c r="N236" s="377"/>
      <c r="O236" s="377"/>
      <c r="P236" s="374" t="s">
        <v>987</v>
      </c>
    </row>
    <row r="237" spans="4:16" x14ac:dyDescent="0.25">
      <c r="D237" s="374" t="s">
        <v>997</v>
      </c>
      <c r="E237" s="374">
        <v>64</v>
      </c>
      <c r="F237" s="374"/>
      <c r="G237" s="374" t="s">
        <v>1037</v>
      </c>
      <c r="H237" s="374">
        <v>10.75</v>
      </c>
      <c r="I237" s="374">
        <v>418</v>
      </c>
      <c r="J237" s="374">
        <v>38.880000000000003</v>
      </c>
      <c r="K237" s="377" t="s">
        <v>1158</v>
      </c>
      <c r="L237" s="378">
        <v>4000</v>
      </c>
      <c r="M237" s="377"/>
      <c r="N237" s="377"/>
      <c r="O237" s="377"/>
      <c r="P237" s="374" t="s">
        <v>987</v>
      </c>
    </row>
    <row r="238" spans="4:16" ht="22.8" x14ac:dyDescent="0.25">
      <c r="D238" s="374" t="s">
        <v>997</v>
      </c>
      <c r="E238" s="374">
        <v>65</v>
      </c>
      <c r="F238" s="374"/>
      <c r="G238" s="374" t="s">
        <v>1038</v>
      </c>
      <c r="H238" s="374">
        <v>54.08</v>
      </c>
      <c r="I238" s="375">
        <v>23907</v>
      </c>
      <c r="J238" s="374">
        <v>442.07</v>
      </c>
      <c r="K238" s="377" t="s">
        <v>1158</v>
      </c>
      <c r="L238" s="378">
        <v>4000</v>
      </c>
      <c r="M238" s="377"/>
      <c r="N238" s="377"/>
      <c r="O238" s="377"/>
      <c r="P238" s="374" t="s">
        <v>987</v>
      </c>
    </row>
    <row r="239" spans="4:16" ht="22.8" x14ac:dyDescent="0.25">
      <c r="D239" s="374" t="s">
        <v>985</v>
      </c>
      <c r="E239" s="374">
        <v>67</v>
      </c>
      <c r="F239" s="374"/>
      <c r="G239" s="374" t="s">
        <v>1039</v>
      </c>
      <c r="H239" s="374">
        <v>9.69</v>
      </c>
      <c r="I239" s="374">
        <v>814</v>
      </c>
      <c r="J239" s="374">
        <v>84</v>
      </c>
      <c r="K239" s="377" t="s">
        <v>1158</v>
      </c>
      <c r="L239" s="378">
        <v>4000</v>
      </c>
      <c r="M239" s="377"/>
      <c r="N239" s="377"/>
      <c r="O239" s="377"/>
      <c r="P239" s="374" t="s">
        <v>987</v>
      </c>
    </row>
    <row r="240" spans="4:16" ht="45.6" x14ac:dyDescent="0.25">
      <c r="D240" s="374" t="s">
        <v>985</v>
      </c>
      <c r="E240" s="374">
        <v>68</v>
      </c>
      <c r="F240" s="374"/>
      <c r="G240" s="374" t="s">
        <v>1040</v>
      </c>
      <c r="H240" s="374">
        <v>15.74</v>
      </c>
      <c r="I240" s="375">
        <v>2626</v>
      </c>
      <c r="J240" s="374">
        <v>166.84</v>
      </c>
      <c r="K240" s="377" t="s">
        <v>1158</v>
      </c>
      <c r="L240" s="378">
        <v>4000</v>
      </c>
      <c r="M240" s="377"/>
      <c r="N240" s="377"/>
      <c r="O240" s="377"/>
      <c r="P240" s="374" t="s">
        <v>987</v>
      </c>
    </row>
    <row r="241" spans="4:16" ht="22.8" x14ac:dyDescent="0.25">
      <c r="D241" s="374" t="s">
        <v>985</v>
      </c>
      <c r="E241" s="374">
        <v>7</v>
      </c>
      <c r="F241" s="374"/>
      <c r="G241" s="374" t="s">
        <v>1043</v>
      </c>
      <c r="H241" s="374">
        <v>6.01</v>
      </c>
      <c r="I241" s="374">
        <v>650</v>
      </c>
      <c r="J241" s="374">
        <v>108.15</v>
      </c>
      <c r="K241" s="377" t="s">
        <v>1159</v>
      </c>
      <c r="L241" s="378">
        <v>6000</v>
      </c>
      <c r="M241" s="377"/>
      <c r="N241" s="377"/>
      <c r="O241" s="377"/>
      <c r="P241" s="374" t="s">
        <v>1044</v>
      </c>
    </row>
    <row r="242" spans="4:16" ht="22.8" x14ac:dyDescent="0.25">
      <c r="D242" s="374" t="s">
        <v>997</v>
      </c>
      <c r="E242" s="374">
        <v>6</v>
      </c>
      <c r="F242" s="374"/>
      <c r="G242" s="374" t="s">
        <v>1045</v>
      </c>
      <c r="H242" s="374">
        <v>15.84</v>
      </c>
      <c r="I242" s="375">
        <v>1165</v>
      </c>
      <c r="J242" s="374">
        <v>73.55</v>
      </c>
      <c r="K242" s="377" t="s">
        <v>1159</v>
      </c>
      <c r="L242" s="378">
        <v>6000</v>
      </c>
      <c r="M242" s="377"/>
      <c r="N242" s="377"/>
      <c r="O242" s="377"/>
      <c r="P242" s="374" t="s">
        <v>1044</v>
      </c>
    </row>
    <row r="243" spans="4:16" ht="34.200000000000003" x14ac:dyDescent="0.25">
      <c r="D243" s="374" t="s">
        <v>988</v>
      </c>
      <c r="E243" s="374">
        <v>6</v>
      </c>
      <c r="F243" s="374"/>
      <c r="G243" s="374" t="s">
        <v>1046</v>
      </c>
      <c r="H243" s="374">
        <v>27.33</v>
      </c>
      <c r="I243" s="374">
        <v>967</v>
      </c>
      <c r="J243" s="374">
        <v>35.380000000000003</v>
      </c>
      <c r="K243" s="377" t="s">
        <v>1159</v>
      </c>
      <c r="L243" s="378">
        <v>6000</v>
      </c>
      <c r="M243" s="377"/>
      <c r="N243" s="377"/>
      <c r="O243" s="377"/>
      <c r="P243" s="374" t="s">
        <v>1044</v>
      </c>
    </row>
    <row r="244" spans="4:16" ht="22.8" x14ac:dyDescent="0.25">
      <c r="D244" s="374" t="s">
        <v>997</v>
      </c>
      <c r="E244" s="374">
        <v>10</v>
      </c>
      <c r="F244" s="374"/>
      <c r="G244" s="374" t="s">
        <v>1047</v>
      </c>
      <c r="H244" s="374">
        <v>23.24</v>
      </c>
      <c r="I244" s="374">
        <v>877</v>
      </c>
      <c r="J244" s="374">
        <v>37.74</v>
      </c>
      <c r="K244" s="377" t="s">
        <v>1159</v>
      </c>
      <c r="L244" s="378">
        <v>6000</v>
      </c>
      <c r="M244" s="377"/>
      <c r="N244" s="377"/>
      <c r="O244" s="377"/>
      <c r="P244" s="374" t="s">
        <v>1044</v>
      </c>
    </row>
    <row r="245" spans="4:16" ht="22.8" x14ac:dyDescent="0.25">
      <c r="D245" s="374" t="s">
        <v>982</v>
      </c>
      <c r="E245" s="374">
        <v>5</v>
      </c>
      <c r="F245" s="374"/>
      <c r="G245" s="374" t="s">
        <v>1048</v>
      </c>
      <c r="H245" s="374">
        <v>79.989999999999995</v>
      </c>
      <c r="I245" s="375">
        <v>2108</v>
      </c>
      <c r="J245" s="374">
        <v>26.35</v>
      </c>
      <c r="K245" s="377" t="s">
        <v>1159</v>
      </c>
      <c r="L245" s="378">
        <v>6000</v>
      </c>
      <c r="M245" s="377"/>
      <c r="N245" s="377"/>
      <c r="O245" s="377"/>
      <c r="P245" s="374" t="s">
        <v>1044</v>
      </c>
    </row>
    <row r="246" spans="4:16" ht="22.8" x14ac:dyDescent="0.25">
      <c r="D246" s="374" t="s">
        <v>988</v>
      </c>
      <c r="E246" s="374">
        <v>7</v>
      </c>
      <c r="F246" s="374"/>
      <c r="G246" s="374" t="s">
        <v>1049</v>
      </c>
      <c r="H246" s="374">
        <v>11.97</v>
      </c>
      <c r="I246" s="375">
        <v>1264</v>
      </c>
      <c r="J246" s="374">
        <v>105.6</v>
      </c>
      <c r="K246" s="377" t="s">
        <v>1159</v>
      </c>
      <c r="L246" s="378">
        <v>6000</v>
      </c>
      <c r="M246" s="377"/>
      <c r="N246" s="377"/>
      <c r="O246" s="377"/>
      <c r="P246" s="374" t="s">
        <v>1044</v>
      </c>
    </row>
    <row r="247" spans="4:16" ht="34.200000000000003" x14ac:dyDescent="0.25">
      <c r="D247" s="374" t="s">
        <v>985</v>
      </c>
      <c r="E247" s="374">
        <v>15</v>
      </c>
      <c r="F247" s="374"/>
      <c r="G247" s="374" t="s">
        <v>1050</v>
      </c>
      <c r="H247" s="374">
        <v>99.5</v>
      </c>
      <c r="I247" s="375">
        <v>13222</v>
      </c>
      <c r="J247" s="374">
        <v>132.88</v>
      </c>
      <c r="K247" s="377" t="s">
        <v>1159</v>
      </c>
      <c r="L247" s="378">
        <v>6000</v>
      </c>
      <c r="M247" s="377"/>
      <c r="N247" s="377"/>
      <c r="O247" s="377"/>
      <c r="P247" s="374" t="s">
        <v>1044</v>
      </c>
    </row>
    <row r="248" spans="4:16" ht="45.6" x14ac:dyDescent="0.25">
      <c r="D248" s="374" t="s">
        <v>988</v>
      </c>
      <c r="E248" s="374">
        <v>8</v>
      </c>
      <c r="F248" s="374"/>
      <c r="G248" s="374" t="s">
        <v>1051</v>
      </c>
      <c r="H248" s="374">
        <v>34.130000000000003</v>
      </c>
      <c r="I248" s="375">
        <v>1142</v>
      </c>
      <c r="J248" s="374">
        <v>33.46</v>
      </c>
      <c r="K248" s="377" t="s">
        <v>1159</v>
      </c>
      <c r="L248" s="378">
        <v>6000</v>
      </c>
      <c r="M248" s="377"/>
      <c r="N248" s="377"/>
      <c r="O248" s="377"/>
      <c r="P248" s="374" t="s">
        <v>1044</v>
      </c>
    </row>
    <row r="249" spans="4:16" ht="22.8" x14ac:dyDescent="0.25">
      <c r="D249" s="374" t="s">
        <v>988</v>
      </c>
      <c r="E249" s="374">
        <v>10</v>
      </c>
      <c r="F249" s="374"/>
      <c r="G249" s="374" t="s">
        <v>1052</v>
      </c>
      <c r="H249" s="374">
        <v>20.97</v>
      </c>
      <c r="I249" s="374">
        <v>517</v>
      </c>
      <c r="J249" s="374">
        <v>24.65</v>
      </c>
      <c r="K249" s="377" t="s">
        <v>1159</v>
      </c>
      <c r="L249" s="378">
        <v>6000</v>
      </c>
      <c r="M249" s="377"/>
      <c r="N249" s="377"/>
      <c r="O249" s="377"/>
      <c r="P249" s="374" t="s">
        <v>1044</v>
      </c>
    </row>
    <row r="250" spans="4:16" ht="45.6" x14ac:dyDescent="0.25">
      <c r="D250" s="374" t="s">
        <v>985</v>
      </c>
      <c r="E250" s="374">
        <v>19</v>
      </c>
      <c r="F250" s="374"/>
      <c r="G250" s="374" t="s">
        <v>1053</v>
      </c>
      <c r="H250" s="374">
        <v>24.3</v>
      </c>
      <c r="I250" s="374">
        <v>752</v>
      </c>
      <c r="J250" s="374">
        <v>30.95</v>
      </c>
      <c r="K250" s="377" t="s">
        <v>1159</v>
      </c>
      <c r="L250" s="378">
        <v>6000</v>
      </c>
      <c r="M250" s="377"/>
      <c r="N250" s="377"/>
      <c r="O250" s="377"/>
      <c r="P250" s="374" t="s">
        <v>1044</v>
      </c>
    </row>
    <row r="251" spans="4:16" ht="22.8" x14ac:dyDescent="0.25">
      <c r="D251" s="374" t="s">
        <v>985</v>
      </c>
      <c r="E251" s="374">
        <v>20</v>
      </c>
      <c r="F251" s="374"/>
      <c r="G251" s="374" t="s">
        <v>1054</v>
      </c>
      <c r="H251" s="374">
        <v>14.76</v>
      </c>
      <c r="I251" s="374">
        <v>326</v>
      </c>
      <c r="J251" s="374">
        <v>22.09</v>
      </c>
      <c r="K251" s="377" t="s">
        <v>1159</v>
      </c>
      <c r="L251" s="378">
        <v>6000</v>
      </c>
      <c r="M251" s="377"/>
      <c r="N251" s="377"/>
      <c r="O251" s="377"/>
      <c r="P251" s="374" t="s">
        <v>1044</v>
      </c>
    </row>
    <row r="252" spans="4:16" ht="45.6" x14ac:dyDescent="0.25">
      <c r="D252" s="374" t="s">
        <v>982</v>
      </c>
      <c r="E252" s="374">
        <v>13</v>
      </c>
      <c r="F252" s="374"/>
      <c r="G252" s="374" t="s">
        <v>1055</v>
      </c>
      <c r="H252" s="374">
        <v>30.15</v>
      </c>
      <c r="I252" s="375">
        <v>1620</v>
      </c>
      <c r="J252" s="374">
        <v>53.73</v>
      </c>
      <c r="K252" s="377" t="s">
        <v>1159</v>
      </c>
      <c r="L252" s="378">
        <v>6000</v>
      </c>
      <c r="M252" s="377"/>
      <c r="N252" s="377"/>
      <c r="O252" s="377"/>
      <c r="P252" s="374" t="s">
        <v>1044</v>
      </c>
    </row>
    <row r="253" spans="4:16" ht="22.8" x14ac:dyDescent="0.25">
      <c r="D253" s="374" t="s">
        <v>997</v>
      </c>
      <c r="E253" s="374">
        <v>16</v>
      </c>
      <c r="F253" s="374"/>
      <c r="G253" s="374" t="s">
        <v>1056</v>
      </c>
      <c r="H253" s="374">
        <v>32.119999999999997</v>
      </c>
      <c r="I253" s="375">
        <v>1263</v>
      </c>
      <c r="J253" s="374">
        <v>39.32</v>
      </c>
      <c r="K253" s="377" t="s">
        <v>1159</v>
      </c>
      <c r="L253" s="378">
        <v>6000</v>
      </c>
      <c r="M253" s="377"/>
      <c r="N253" s="377"/>
      <c r="O253" s="377"/>
      <c r="P253" s="374" t="s">
        <v>1044</v>
      </c>
    </row>
    <row r="254" spans="4:16" ht="22.8" x14ac:dyDescent="0.25">
      <c r="D254" s="374" t="s">
        <v>997</v>
      </c>
      <c r="E254" s="374">
        <v>19</v>
      </c>
      <c r="F254" s="374"/>
      <c r="G254" s="374" t="s">
        <v>1057</v>
      </c>
      <c r="H254" s="374">
        <v>13.67</v>
      </c>
      <c r="I254" s="374">
        <v>606</v>
      </c>
      <c r="J254" s="374">
        <v>44.33</v>
      </c>
      <c r="K254" s="377" t="s">
        <v>1159</v>
      </c>
      <c r="L254" s="378">
        <v>6000</v>
      </c>
      <c r="M254" s="377"/>
      <c r="N254" s="377"/>
      <c r="O254" s="377"/>
      <c r="P254" s="374" t="s">
        <v>1044</v>
      </c>
    </row>
    <row r="255" spans="4:16" ht="22.8" x14ac:dyDescent="0.25">
      <c r="D255" s="374" t="s">
        <v>997</v>
      </c>
      <c r="E255" s="374">
        <v>21</v>
      </c>
      <c r="F255" s="374"/>
      <c r="G255" s="374" t="s">
        <v>1058</v>
      </c>
      <c r="H255" s="374">
        <v>9.5500000000000007</v>
      </c>
      <c r="I255" s="375">
        <v>1268</v>
      </c>
      <c r="J255" s="374">
        <v>132.77000000000001</v>
      </c>
      <c r="K255" s="377" t="s">
        <v>1159</v>
      </c>
      <c r="L255" s="378">
        <v>6000</v>
      </c>
      <c r="M255" s="377"/>
      <c r="N255" s="377"/>
      <c r="O255" s="377"/>
      <c r="P255" s="374" t="s">
        <v>1044</v>
      </c>
    </row>
    <row r="256" spans="4:16" ht="34.200000000000003" x14ac:dyDescent="0.25">
      <c r="D256" s="374" t="s">
        <v>982</v>
      </c>
      <c r="E256" s="374">
        <v>19</v>
      </c>
      <c r="F256" s="374"/>
      <c r="G256" s="374" t="s">
        <v>1059</v>
      </c>
      <c r="H256" s="374">
        <v>8.02</v>
      </c>
      <c r="I256" s="374">
        <v>279</v>
      </c>
      <c r="J256" s="374">
        <v>34.880000000000003</v>
      </c>
      <c r="K256" s="377" t="s">
        <v>1159</v>
      </c>
      <c r="L256" s="378">
        <v>6000</v>
      </c>
      <c r="M256" s="377"/>
      <c r="N256" s="377"/>
      <c r="O256" s="377"/>
      <c r="P256" s="374" t="s">
        <v>1044</v>
      </c>
    </row>
    <row r="257" spans="4:16" ht="22.8" x14ac:dyDescent="0.25">
      <c r="D257" s="374" t="s">
        <v>985</v>
      </c>
      <c r="E257" s="374">
        <v>26</v>
      </c>
      <c r="F257" s="374"/>
      <c r="G257" s="374" t="s">
        <v>1060</v>
      </c>
      <c r="H257" s="374">
        <v>13.73</v>
      </c>
      <c r="I257" s="375">
        <v>1095</v>
      </c>
      <c r="J257" s="374">
        <v>79.75</v>
      </c>
      <c r="K257" s="377" t="s">
        <v>1159</v>
      </c>
      <c r="L257" s="378">
        <v>6000</v>
      </c>
      <c r="M257" s="377"/>
      <c r="N257" s="377"/>
      <c r="O257" s="377"/>
      <c r="P257" s="374" t="s">
        <v>1044</v>
      </c>
    </row>
    <row r="258" spans="4:16" ht="34.200000000000003" x14ac:dyDescent="0.25">
      <c r="D258" s="374" t="s">
        <v>997</v>
      </c>
      <c r="E258" s="374">
        <v>28</v>
      </c>
      <c r="F258" s="374"/>
      <c r="G258" s="374" t="s">
        <v>1061</v>
      </c>
      <c r="H258" s="374">
        <v>11.76</v>
      </c>
      <c r="I258" s="375">
        <v>1135</v>
      </c>
      <c r="J258" s="374">
        <v>96.51</v>
      </c>
      <c r="K258" s="377" t="s">
        <v>1159</v>
      </c>
      <c r="L258" s="378">
        <v>6000</v>
      </c>
      <c r="M258" s="377"/>
      <c r="N258" s="377"/>
      <c r="O258" s="377"/>
      <c r="P258" s="374" t="s">
        <v>1044</v>
      </c>
    </row>
    <row r="259" spans="4:16" x14ac:dyDescent="0.25">
      <c r="D259" s="374" t="s">
        <v>985</v>
      </c>
      <c r="E259" s="374">
        <v>28</v>
      </c>
      <c r="F259" s="374"/>
      <c r="G259" s="374" t="s">
        <v>1062</v>
      </c>
      <c r="H259" s="374">
        <v>16.57</v>
      </c>
      <c r="I259" s="374">
        <v>263</v>
      </c>
      <c r="J259" s="374">
        <v>15.87</v>
      </c>
      <c r="K259" s="377" t="s">
        <v>1159</v>
      </c>
      <c r="L259" s="378">
        <v>6000</v>
      </c>
      <c r="M259" s="377"/>
      <c r="N259" s="377"/>
      <c r="O259" s="377"/>
      <c r="P259" s="374" t="s">
        <v>1044</v>
      </c>
    </row>
    <row r="260" spans="4:16" x14ac:dyDescent="0.25">
      <c r="D260" s="374" t="s">
        <v>982</v>
      </c>
      <c r="E260" s="374">
        <v>22</v>
      </c>
      <c r="F260" s="374"/>
      <c r="G260" s="374" t="s">
        <v>1063</v>
      </c>
      <c r="H260" s="374">
        <v>11.03</v>
      </c>
      <c r="I260" s="374">
        <v>96</v>
      </c>
      <c r="J260" s="374">
        <v>8.6999999999999993</v>
      </c>
      <c r="K260" s="377" t="s">
        <v>1159</v>
      </c>
      <c r="L260" s="378">
        <v>6000</v>
      </c>
      <c r="M260" s="377"/>
      <c r="N260" s="377"/>
      <c r="O260" s="377"/>
      <c r="P260" s="374" t="s">
        <v>1044</v>
      </c>
    </row>
    <row r="261" spans="4:16" ht="22.8" x14ac:dyDescent="0.25">
      <c r="D261" s="374" t="s">
        <v>982</v>
      </c>
      <c r="E261" s="374">
        <v>24</v>
      </c>
      <c r="F261" s="374"/>
      <c r="G261" s="374" t="s">
        <v>1064</v>
      </c>
      <c r="H261" s="374">
        <v>16.62</v>
      </c>
      <c r="I261" s="374">
        <v>272</v>
      </c>
      <c r="J261" s="374">
        <v>16.37</v>
      </c>
      <c r="K261" s="377" t="s">
        <v>1159</v>
      </c>
      <c r="L261" s="378">
        <v>6000</v>
      </c>
      <c r="M261" s="377"/>
      <c r="N261" s="377"/>
      <c r="O261" s="377"/>
      <c r="P261" s="374" t="s">
        <v>1044</v>
      </c>
    </row>
    <row r="262" spans="4:16" ht="22.8" x14ac:dyDescent="0.25">
      <c r="D262" s="374" t="s">
        <v>985</v>
      </c>
      <c r="E262" s="374">
        <v>31</v>
      </c>
      <c r="F262" s="374"/>
      <c r="G262" s="374" t="s">
        <v>1065</v>
      </c>
      <c r="H262" s="374">
        <v>17.43</v>
      </c>
      <c r="I262" s="374">
        <v>949</v>
      </c>
      <c r="J262" s="374">
        <v>54.45</v>
      </c>
      <c r="K262" s="377" t="s">
        <v>1159</v>
      </c>
      <c r="L262" s="378">
        <v>6000</v>
      </c>
      <c r="M262" s="377"/>
      <c r="N262" s="377"/>
      <c r="O262" s="377"/>
      <c r="P262" s="374" t="s">
        <v>1044</v>
      </c>
    </row>
    <row r="263" spans="4:16" ht="22.8" x14ac:dyDescent="0.25">
      <c r="D263" s="374" t="s">
        <v>985</v>
      </c>
      <c r="E263" s="374">
        <v>32</v>
      </c>
      <c r="F263" s="374"/>
      <c r="G263" s="374" t="s">
        <v>1041</v>
      </c>
      <c r="H263" s="374">
        <v>19.13</v>
      </c>
      <c r="I263" s="374">
        <v>465</v>
      </c>
      <c r="J263" s="374">
        <v>24.31</v>
      </c>
      <c r="K263" s="377" t="s">
        <v>1159</v>
      </c>
      <c r="L263" s="378">
        <v>6000</v>
      </c>
      <c r="M263" s="377"/>
      <c r="N263" s="377"/>
      <c r="O263" s="377"/>
      <c r="P263" s="374" t="s">
        <v>1042</v>
      </c>
    </row>
    <row r="264" spans="4:16" ht="22.8" x14ac:dyDescent="0.25">
      <c r="D264" s="374" t="s">
        <v>982</v>
      </c>
      <c r="E264" s="374">
        <v>26</v>
      </c>
      <c r="F264" s="374"/>
      <c r="G264" s="374" t="s">
        <v>1066</v>
      </c>
      <c r="H264" s="374">
        <v>18.53</v>
      </c>
      <c r="I264" s="374">
        <v>105</v>
      </c>
      <c r="J264" s="374">
        <v>5.67</v>
      </c>
      <c r="K264" s="377" t="s">
        <v>1159</v>
      </c>
      <c r="L264" s="378">
        <v>6000</v>
      </c>
      <c r="M264" s="377"/>
      <c r="N264" s="377"/>
      <c r="O264" s="377"/>
      <c r="P264" s="374" t="s">
        <v>1044</v>
      </c>
    </row>
    <row r="265" spans="4:16" ht="22.8" x14ac:dyDescent="0.25">
      <c r="D265" s="374" t="s">
        <v>988</v>
      </c>
      <c r="E265" s="374">
        <v>17</v>
      </c>
      <c r="F265" s="374"/>
      <c r="G265" s="374" t="s">
        <v>1067</v>
      </c>
      <c r="H265" s="374">
        <v>38.11</v>
      </c>
      <c r="I265" s="375">
        <v>5511</v>
      </c>
      <c r="J265" s="374">
        <v>144.61000000000001</v>
      </c>
      <c r="K265" s="377" t="s">
        <v>1159</v>
      </c>
      <c r="L265" s="378">
        <v>6000</v>
      </c>
      <c r="M265" s="377"/>
      <c r="N265" s="377"/>
      <c r="O265" s="377"/>
      <c r="P265" s="374" t="s">
        <v>1044</v>
      </c>
    </row>
    <row r="266" spans="4:16" ht="22.8" x14ac:dyDescent="0.25">
      <c r="D266" s="374" t="s">
        <v>982</v>
      </c>
      <c r="E266" s="374">
        <v>30</v>
      </c>
      <c r="F266" s="374"/>
      <c r="G266" s="374" t="s">
        <v>1068</v>
      </c>
      <c r="H266" s="374">
        <v>17.78</v>
      </c>
      <c r="I266" s="374">
        <v>507</v>
      </c>
      <c r="J266" s="374">
        <v>28.52</v>
      </c>
      <c r="K266" s="377" t="s">
        <v>1159</v>
      </c>
      <c r="L266" s="378">
        <v>6000</v>
      </c>
      <c r="M266" s="377"/>
      <c r="N266" s="377"/>
      <c r="O266" s="377"/>
      <c r="P266" s="374" t="s">
        <v>1044</v>
      </c>
    </row>
    <row r="267" spans="4:16" ht="22.8" x14ac:dyDescent="0.25">
      <c r="D267" s="374" t="s">
        <v>982</v>
      </c>
      <c r="E267" s="374">
        <v>31</v>
      </c>
      <c r="F267" s="374"/>
      <c r="G267" s="374" t="s">
        <v>1069</v>
      </c>
      <c r="H267" s="374">
        <v>25.48</v>
      </c>
      <c r="I267" s="375">
        <v>1558</v>
      </c>
      <c r="J267" s="374">
        <v>61.15</v>
      </c>
      <c r="K267" s="377" t="s">
        <v>1159</v>
      </c>
      <c r="L267" s="378">
        <v>6000</v>
      </c>
      <c r="M267" s="377"/>
      <c r="N267" s="377"/>
      <c r="O267" s="377"/>
      <c r="P267" s="374" t="s">
        <v>1044</v>
      </c>
    </row>
    <row r="268" spans="4:16" ht="22.8" x14ac:dyDescent="0.25">
      <c r="D268" s="374" t="s">
        <v>985</v>
      </c>
      <c r="E268" s="374">
        <v>35</v>
      </c>
      <c r="F268" s="374"/>
      <c r="G268" s="374" t="s">
        <v>1070</v>
      </c>
      <c r="H268" s="374">
        <v>19.18</v>
      </c>
      <c r="I268" s="374">
        <v>947</v>
      </c>
      <c r="J268" s="374">
        <v>49.37</v>
      </c>
      <c r="K268" s="377" t="s">
        <v>1159</v>
      </c>
      <c r="L268" s="378">
        <v>6000</v>
      </c>
      <c r="M268" s="377"/>
      <c r="N268" s="377"/>
      <c r="O268" s="377"/>
      <c r="P268" s="374" t="s">
        <v>1044</v>
      </c>
    </row>
    <row r="269" spans="4:16" ht="22.8" x14ac:dyDescent="0.25">
      <c r="D269" s="374" t="s">
        <v>982</v>
      </c>
      <c r="E269" s="374">
        <v>36</v>
      </c>
      <c r="F269" s="374"/>
      <c r="G269" s="374" t="s">
        <v>1071</v>
      </c>
      <c r="H269" s="374">
        <v>16.14</v>
      </c>
      <c r="I269" s="375">
        <v>2693</v>
      </c>
      <c r="J269" s="374">
        <v>166.85</v>
      </c>
      <c r="K269" s="377" t="s">
        <v>1159</v>
      </c>
      <c r="L269" s="378">
        <v>6000</v>
      </c>
      <c r="M269" s="377"/>
      <c r="N269" s="377"/>
      <c r="O269" s="377"/>
      <c r="P269" s="374" t="s">
        <v>1044</v>
      </c>
    </row>
    <row r="270" spans="4:16" ht="34.200000000000003" x14ac:dyDescent="0.25">
      <c r="D270" s="374" t="s">
        <v>997</v>
      </c>
      <c r="E270" s="374">
        <v>35</v>
      </c>
      <c r="F270" s="374"/>
      <c r="G270" s="374" t="s">
        <v>1072</v>
      </c>
      <c r="H270" s="374">
        <v>58.02</v>
      </c>
      <c r="I270" s="374">
        <v>608</v>
      </c>
      <c r="J270" s="374">
        <v>10.48</v>
      </c>
      <c r="K270" s="377" t="s">
        <v>1159</v>
      </c>
      <c r="L270" s="378">
        <v>6000</v>
      </c>
      <c r="M270" s="377"/>
      <c r="N270" s="377"/>
      <c r="O270" s="377"/>
      <c r="P270" s="374" t="s">
        <v>1044</v>
      </c>
    </row>
    <row r="271" spans="4:16" ht="34.200000000000003" x14ac:dyDescent="0.25">
      <c r="D271" s="374" t="s">
        <v>997</v>
      </c>
      <c r="E271" s="374">
        <v>36</v>
      </c>
      <c r="F271" s="374"/>
      <c r="G271" s="374" t="s">
        <v>1073</v>
      </c>
      <c r="H271" s="374">
        <v>13.85</v>
      </c>
      <c r="I271" s="374">
        <v>365</v>
      </c>
      <c r="J271" s="374">
        <v>26.35</v>
      </c>
      <c r="K271" s="377" t="s">
        <v>1159</v>
      </c>
      <c r="L271" s="378">
        <v>6000</v>
      </c>
      <c r="M271" s="377"/>
      <c r="N271" s="377"/>
      <c r="O271" s="377"/>
      <c r="P271" s="374" t="s">
        <v>1044</v>
      </c>
    </row>
    <row r="272" spans="4:16" ht="45.6" x14ac:dyDescent="0.25">
      <c r="D272" s="374" t="s">
        <v>997</v>
      </c>
      <c r="E272" s="374">
        <v>37</v>
      </c>
      <c r="F272" s="374"/>
      <c r="G272" s="374" t="s">
        <v>1074</v>
      </c>
      <c r="H272" s="374">
        <v>10.23</v>
      </c>
      <c r="I272" s="374">
        <v>123</v>
      </c>
      <c r="J272" s="374">
        <v>12.02</v>
      </c>
      <c r="K272" s="377" t="s">
        <v>1159</v>
      </c>
      <c r="L272" s="378">
        <v>6000</v>
      </c>
      <c r="M272" s="377"/>
      <c r="N272" s="377"/>
      <c r="O272" s="377"/>
      <c r="P272" s="374" t="s">
        <v>1044</v>
      </c>
    </row>
    <row r="273" spans="4:16" ht="45.6" x14ac:dyDescent="0.25">
      <c r="D273" s="374" t="s">
        <v>988</v>
      </c>
      <c r="E273" s="374">
        <v>19</v>
      </c>
      <c r="F273" s="374"/>
      <c r="G273" s="374" t="s">
        <v>1075</v>
      </c>
      <c r="H273" s="374">
        <v>11.25</v>
      </c>
      <c r="I273" s="375">
        <v>1473</v>
      </c>
      <c r="J273" s="374">
        <v>130.93</v>
      </c>
      <c r="K273" s="377" t="s">
        <v>1159</v>
      </c>
      <c r="L273" s="378">
        <v>6000</v>
      </c>
      <c r="M273" s="377"/>
      <c r="N273" s="377"/>
      <c r="O273" s="377"/>
      <c r="P273" s="374" t="s">
        <v>1044</v>
      </c>
    </row>
    <row r="274" spans="4:16" ht="34.200000000000003" x14ac:dyDescent="0.25">
      <c r="D274" s="374" t="s">
        <v>985</v>
      </c>
      <c r="E274" s="374">
        <v>44</v>
      </c>
      <c r="F274" s="374"/>
      <c r="G274" s="374" t="s">
        <v>1076</v>
      </c>
      <c r="H274" s="374">
        <v>17.72</v>
      </c>
      <c r="I274" s="374">
        <v>889</v>
      </c>
      <c r="J274" s="374">
        <v>50.17</v>
      </c>
      <c r="K274" s="377" t="s">
        <v>1159</v>
      </c>
      <c r="L274" s="378">
        <v>6000</v>
      </c>
      <c r="M274" s="377"/>
      <c r="N274" s="377"/>
      <c r="O274" s="377"/>
      <c r="P274" s="374" t="s">
        <v>1044</v>
      </c>
    </row>
    <row r="275" spans="4:16" x14ac:dyDescent="0.25">
      <c r="D275" s="374" t="s">
        <v>982</v>
      </c>
      <c r="E275" s="374">
        <v>42</v>
      </c>
      <c r="F275" s="374"/>
      <c r="G275" s="374" t="s">
        <v>1077</v>
      </c>
      <c r="H275" s="374">
        <v>15.86</v>
      </c>
      <c r="I275" s="374">
        <v>584</v>
      </c>
      <c r="J275" s="374">
        <v>36.82</v>
      </c>
      <c r="K275" s="377" t="s">
        <v>1159</v>
      </c>
      <c r="L275" s="378">
        <v>6000</v>
      </c>
      <c r="M275" s="377"/>
      <c r="N275" s="377"/>
      <c r="O275" s="377"/>
      <c r="P275" s="374" t="s">
        <v>1044</v>
      </c>
    </row>
    <row r="276" spans="4:16" ht="22.8" x14ac:dyDescent="0.25">
      <c r="D276" s="374" t="s">
        <v>997</v>
      </c>
      <c r="E276" s="374">
        <v>41</v>
      </c>
      <c r="F276" s="374"/>
      <c r="G276" s="374" t="s">
        <v>1078</v>
      </c>
      <c r="H276" s="374">
        <v>9.9499999999999993</v>
      </c>
      <c r="I276" s="374">
        <v>546</v>
      </c>
      <c r="J276" s="374">
        <v>54.87</v>
      </c>
      <c r="K276" s="377" t="s">
        <v>1159</v>
      </c>
      <c r="L276" s="378">
        <v>6000</v>
      </c>
      <c r="M276" s="377"/>
      <c r="N276" s="377"/>
      <c r="O276" s="377"/>
      <c r="P276" s="374" t="s">
        <v>1044</v>
      </c>
    </row>
    <row r="277" spans="4:16" x14ac:dyDescent="0.25">
      <c r="D277" s="374" t="s">
        <v>985</v>
      </c>
      <c r="E277" s="374">
        <v>50</v>
      </c>
      <c r="F277" s="374"/>
      <c r="G277" s="374" t="s">
        <v>1079</v>
      </c>
      <c r="H277" s="374">
        <v>8.2100000000000009</v>
      </c>
      <c r="I277" s="374">
        <v>640</v>
      </c>
      <c r="J277" s="374">
        <v>77.95</v>
      </c>
      <c r="K277" s="377" t="s">
        <v>1159</v>
      </c>
      <c r="L277" s="378">
        <v>6000</v>
      </c>
      <c r="M277" s="377"/>
      <c r="N277" s="377"/>
      <c r="O277" s="377"/>
      <c r="P277" s="374" t="s">
        <v>1044</v>
      </c>
    </row>
    <row r="278" spans="4:16" ht="22.8" x14ac:dyDescent="0.25">
      <c r="D278" s="374" t="s">
        <v>985</v>
      </c>
      <c r="E278" s="374">
        <v>51</v>
      </c>
      <c r="F278" s="374"/>
      <c r="G278" s="374" t="s">
        <v>1080</v>
      </c>
      <c r="H278" s="374">
        <v>24.87</v>
      </c>
      <c r="I278" s="374">
        <v>855</v>
      </c>
      <c r="J278" s="374">
        <v>34.380000000000003</v>
      </c>
      <c r="K278" s="377" t="s">
        <v>1159</v>
      </c>
      <c r="L278" s="378">
        <v>6000</v>
      </c>
      <c r="M278" s="377"/>
      <c r="N278" s="377"/>
      <c r="O278" s="377"/>
      <c r="P278" s="374" t="s">
        <v>1044</v>
      </c>
    </row>
    <row r="279" spans="4:16" ht="22.8" x14ac:dyDescent="0.25">
      <c r="D279" s="374" t="s">
        <v>997</v>
      </c>
      <c r="E279" s="374">
        <v>46</v>
      </c>
      <c r="F279" s="374"/>
      <c r="G279" s="374" t="s">
        <v>1081</v>
      </c>
      <c r="H279" s="374">
        <v>27.7</v>
      </c>
      <c r="I279" s="374">
        <v>629</v>
      </c>
      <c r="J279" s="374">
        <v>22.71</v>
      </c>
      <c r="K279" s="377" t="s">
        <v>1159</v>
      </c>
      <c r="L279" s="378">
        <v>6000</v>
      </c>
      <c r="M279" s="377"/>
      <c r="N279" s="377"/>
      <c r="O279" s="377"/>
      <c r="P279" s="374" t="s">
        <v>1044</v>
      </c>
    </row>
    <row r="280" spans="4:16" ht="22.8" x14ac:dyDescent="0.25">
      <c r="D280" s="374" t="s">
        <v>982</v>
      </c>
      <c r="E280" s="374">
        <v>45</v>
      </c>
      <c r="F280" s="374"/>
      <c r="G280" s="374" t="s">
        <v>1082</v>
      </c>
      <c r="H280" s="374">
        <v>16.8</v>
      </c>
      <c r="I280" s="374">
        <v>156</v>
      </c>
      <c r="J280" s="374">
        <v>9.2899999999999991</v>
      </c>
      <c r="K280" s="377" t="s">
        <v>1159</v>
      </c>
      <c r="L280" s="378">
        <v>6000</v>
      </c>
      <c r="M280" s="377"/>
      <c r="N280" s="377"/>
      <c r="O280" s="377"/>
      <c r="P280" s="374" t="s">
        <v>1044</v>
      </c>
    </row>
    <row r="281" spans="4:16" ht="34.200000000000003" x14ac:dyDescent="0.25">
      <c r="D281" s="374" t="s">
        <v>988</v>
      </c>
      <c r="E281" s="374">
        <v>25</v>
      </c>
      <c r="F281" s="374"/>
      <c r="G281" s="374" t="s">
        <v>1083</v>
      </c>
      <c r="H281" s="374">
        <v>32.26</v>
      </c>
      <c r="I281" s="374">
        <v>752</v>
      </c>
      <c r="J281" s="374">
        <v>23.31</v>
      </c>
      <c r="K281" s="377" t="s">
        <v>1159</v>
      </c>
      <c r="L281" s="378">
        <v>6000</v>
      </c>
      <c r="M281" s="377"/>
      <c r="N281" s="377"/>
      <c r="O281" s="377"/>
      <c r="P281" s="374" t="s">
        <v>1044</v>
      </c>
    </row>
    <row r="282" spans="4:16" ht="22.8" x14ac:dyDescent="0.25">
      <c r="D282" s="374" t="s">
        <v>982</v>
      </c>
      <c r="E282" s="374">
        <v>52</v>
      </c>
      <c r="F282" s="374"/>
      <c r="G282" s="374" t="s">
        <v>1084</v>
      </c>
      <c r="H282" s="374">
        <v>45.07</v>
      </c>
      <c r="I282" s="374">
        <v>566</v>
      </c>
      <c r="J282" s="374">
        <v>12.56</v>
      </c>
      <c r="K282" s="377" t="s">
        <v>1159</v>
      </c>
      <c r="L282" s="378">
        <v>6000</v>
      </c>
      <c r="M282" s="377"/>
      <c r="N282" s="377"/>
      <c r="O282" s="377"/>
      <c r="P282" s="374" t="s">
        <v>1044</v>
      </c>
    </row>
    <row r="283" spans="4:16" ht="22.8" x14ac:dyDescent="0.25">
      <c r="D283" s="374" t="s">
        <v>985</v>
      </c>
      <c r="E283" s="374">
        <v>55</v>
      </c>
      <c r="F283" s="374"/>
      <c r="G283" s="374" t="s">
        <v>1085</v>
      </c>
      <c r="H283" s="374">
        <v>100.45</v>
      </c>
      <c r="I283" s="375">
        <v>1818</v>
      </c>
      <c r="J283" s="374">
        <v>18.100000000000001</v>
      </c>
      <c r="K283" s="377" t="s">
        <v>1159</v>
      </c>
      <c r="L283" s="378">
        <v>6000</v>
      </c>
      <c r="M283" s="377"/>
      <c r="N283" s="377"/>
      <c r="O283" s="377"/>
      <c r="P283" s="374" t="s">
        <v>1044</v>
      </c>
    </row>
    <row r="284" spans="4:16" ht="22.8" x14ac:dyDescent="0.25">
      <c r="D284" s="374" t="s">
        <v>985</v>
      </c>
      <c r="E284" s="374">
        <v>59</v>
      </c>
      <c r="F284" s="374"/>
      <c r="G284" s="374" t="s">
        <v>1086</v>
      </c>
      <c r="H284" s="374">
        <v>17.55</v>
      </c>
      <c r="I284" s="374">
        <v>843</v>
      </c>
      <c r="J284" s="374">
        <v>48.03</v>
      </c>
      <c r="K284" s="377" t="s">
        <v>1159</v>
      </c>
      <c r="L284" s="378">
        <v>6000</v>
      </c>
      <c r="M284" s="377"/>
      <c r="N284" s="377"/>
      <c r="O284" s="377"/>
      <c r="P284" s="374" t="s">
        <v>1044</v>
      </c>
    </row>
    <row r="285" spans="4:16" ht="22.8" x14ac:dyDescent="0.25">
      <c r="D285" s="374" t="s">
        <v>997</v>
      </c>
      <c r="E285" s="374">
        <v>60</v>
      </c>
      <c r="F285" s="374"/>
      <c r="G285" s="374" t="s">
        <v>1087</v>
      </c>
      <c r="H285" s="374">
        <v>1.86</v>
      </c>
      <c r="I285" s="374">
        <v>231</v>
      </c>
      <c r="J285" s="374">
        <v>124.19</v>
      </c>
      <c r="K285" s="377" t="s">
        <v>1159</v>
      </c>
      <c r="L285" s="378">
        <v>6000</v>
      </c>
      <c r="M285" s="377"/>
      <c r="N285" s="377"/>
      <c r="O285" s="377"/>
      <c r="P285" s="374" t="s">
        <v>1044</v>
      </c>
    </row>
    <row r="286" spans="4:16" ht="22.8" x14ac:dyDescent="0.25">
      <c r="D286" s="374" t="s">
        <v>982</v>
      </c>
      <c r="E286" s="374">
        <v>61</v>
      </c>
      <c r="F286" s="374"/>
      <c r="G286" s="374" t="s">
        <v>1088</v>
      </c>
      <c r="H286" s="374">
        <v>24.47</v>
      </c>
      <c r="I286" s="374">
        <v>560</v>
      </c>
      <c r="J286" s="374">
        <v>22.89</v>
      </c>
      <c r="K286" s="377" t="s">
        <v>1159</v>
      </c>
      <c r="L286" s="378">
        <v>6000</v>
      </c>
      <c r="M286" s="377"/>
      <c r="N286" s="377"/>
      <c r="O286" s="377"/>
      <c r="P286" s="374" t="s">
        <v>1044</v>
      </c>
    </row>
    <row r="287" spans="4:16" ht="22.8" x14ac:dyDescent="0.25">
      <c r="D287" s="374" t="s">
        <v>985</v>
      </c>
      <c r="E287" s="374">
        <v>61</v>
      </c>
      <c r="F287" s="374"/>
      <c r="G287" s="374" t="s">
        <v>1089</v>
      </c>
      <c r="H287" s="374">
        <v>18.63</v>
      </c>
      <c r="I287" s="375">
        <v>2708</v>
      </c>
      <c r="J287" s="374">
        <v>145.36000000000001</v>
      </c>
      <c r="K287" s="377" t="s">
        <v>1159</v>
      </c>
      <c r="L287" s="378">
        <v>6000</v>
      </c>
      <c r="M287" s="377"/>
      <c r="N287" s="377"/>
      <c r="O287" s="377"/>
      <c r="P287" s="374" t="s">
        <v>1044</v>
      </c>
    </row>
    <row r="288" spans="4:16" ht="22.8" x14ac:dyDescent="0.25">
      <c r="D288" s="374" t="s">
        <v>982</v>
      </c>
      <c r="E288" s="374">
        <v>63</v>
      </c>
      <c r="F288" s="374"/>
      <c r="G288" s="374" t="s">
        <v>1090</v>
      </c>
      <c r="H288" s="374">
        <v>7.05</v>
      </c>
      <c r="I288" s="374">
        <v>628</v>
      </c>
      <c r="J288" s="374">
        <v>89.08</v>
      </c>
      <c r="K288" s="377" t="s">
        <v>1159</v>
      </c>
      <c r="L288" s="378">
        <v>6000</v>
      </c>
      <c r="M288" s="377"/>
      <c r="N288" s="377"/>
      <c r="O288" s="377"/>
      <c r="P288" s="374" t="s">
        <v>1044</v>
      </c>
    </row>
    <row r="289" spans="4:16" ht="22.8" x14ac:dyDescent="0.25">
      <c r="D289" s="374" t="s">
        <v>982</v>
      </c>
      <c r="E289" s="374">
        <v>65</v>
      </c>
      <c r="F289" s="374"/>
      <c r="G289" s="374" t="s">
        <v>1091</v>
      </c>
      <c r="H289" s="374">
        <v>35.130000000000003</v>
      </c>
      <c r="I289" s="374">
        <v>817</v>
      </c>
      <c r="J289" s="374">
        <v>23.26</v>
      </c>
      <c r="K289" s="377" t="s">
        <v>1159</v>
      </c>
      <c r="L289" s="378">
        <v>6000</v>
      </c>
      <c r="M289" s="377"/>
      <c r="N289" s="377"/>
      <c r="O289" s="377"/>
      <c r="P289" s="374" t="s">
        <v>1044</v>
      </c>
    </row>
    <row r="290" spans="4:16" ht="34.200000000000003" x14ac:dyDescent="0.25">
      <c r="D290" s="374" t="s">
        <v>997</v>
      </c>
      <c r="E290" s="374">
        <v>67</v>
      </c>
      <c r="F290" s="374"/>
      <c r="G290" s="374" t="s">
        <v>1092</v>
      </c>
      <c r="H290" s="374">
        <v>9.6199999999999992</v>
      </c>
      <c r="I290" s="374">
        <v>452</v>
      </c>
      <c r="J290" s="374">
        <v>46.99</v>
      </c>
      <c r="K290" s="377" t="s">
        <v>1159</v>
      </c>
      <c r="L290" s="378">
        <v>6000</v>
      </c>
      <c r="M290" s="377"/>
      <c r="N290" s="377"/>
      <c r="O290" s="377"/>
      <c r="P290" s="374" t="s">
        <v>1044</v>
      </c>
    </row>
    <row r="291" spans="4:16" ht="22.8" x14ac:dyDescent="0.25">
      <c r="D291" s="374" t="s">
        <v>985</v>
      </c>
      <c r="E291" s="374">
        <v>69</v>
      </c>
      <c r="F291" s="374"/>
      <c r="G291" s="374" t="s">
        <v>1093</v>
      </c>
      <c r="H291" s="374">
        <v>10.74</v>
      </c>
      <c r="I291" s="374">
        <v>313</v>
      </c>
      <c r="J291" s="374">
        <v>29.14</v>
      </c>
      <c r="K291" s="377" t="s">
        <v>1159</v>
      </c>
      <c r="L291" s="378">
        <v>6000</v>
      </c>
      <c r="M291" s="377"/>
      <c r="N291" s="377"/>
      <c r="O291" s="377"/>
      <c r="P291" s="374" t="s">
        <v>1044</v>
      </c>
    </row>
    <row r="292" spans="4:16" x14ac:dyDescent="0.25">
      <c r="D292" s="374" t="s">
        <v>997</v>
      </c>
      <c r="E292" s="374">
        <v>1</v>
      </c>
      <c r="F292" s="374"/>
      <c r="G292" s="374" t="s">
        <v>1094</v>
      </c>
      <c r="H292" s="374">
        <v>14.74</v>
      </c>
      <c r="I292" s="374">
        <v>452</v>
      </c>
      <c r="J292" s="374">
        <v>30.66</v>
      </c>
      <c r="K292" s="377" t="s">
        <v>1160</v>
      </c>
      <c r="L292" s="378">
        <v>8000</v>
      </c>
      <c r="M292" s="377"/>
      <c r="N292" s="377"/>
      <c r="O292" s="377"/>
      <c r="P292" s="374" t="s">
        <v>1095</v>
      </c>
    </row>
    <row r="293" spans="4:16" ht="22.8" x14ac:dyDescent="0.25">
      <c r="D293" s="374" t="s">
        <v>997</v>
      </c>
      <c r="E293" s="374">
        <v>2</v>
      </c>
      <c r="F293" s="374"/>
      <c r="G293" s="374" t="s">
        <v>1096</v>
      </c>
      <c r="H293" s="374">
        <v>19.68</v>
      </c>
      <c r="I293" s="374">
        <v>618</v>
      </c>
      <c r="J293" s="374">
        <v>31.4</v>
      </c>
      <c r="K293" s="377" t="s">
        <v>1160</v>
      </c>
      <c r="L293" s="378">
        <v>8000</v>
      </c>
      <c r="M293" s="377"/>
      <c r="N293" s="377"/>
      <c r="O293" s="377"/>
      <c r="P293" s="374" t="s">
        <v>1095</v>
      </c>
    </row>
    <row r="294" spans="4:16" ht="45.6" x14ac:dyDescent="0.25">
      <c r="D294" s="374" t="s">
        <v>997</v>
      </c>
      <c r="E294" s="374">
        <v>3</v>
      </c>
      <c r="F294" s="374"/>
      <c r="G294" s="374" t="s">
        <v>1097</v>
      </c>
      <c r="H294" s="374">
        <v>10.08</v>
      </c>
      <c r="I294" s="374">
        <v>174</v>
      </c>
      <c r="J294" s="374">
        <v>17.260000000000002</v>
      </c>
      <c r="K294" s="377" t="s">
        <v>1160</v>
      </c>
      <c r="L294" s="378">
        <v>8000</v>
      </c>
      <c r="M294" s="377"/>
      <c r="N294" s="377"/>
      <c r="O294" s="377"/>
      <c r="P294" s="374" t="s">
        <v>1095</v>
      </c>
    </row>
    <row r="295" spans="4:16" x14ac:dyDescent="0.25">
      <c r="D295" s="374" t="s">
        <v>997</v>
      </c>
      <c r="E295" s="374">
        <v>4</v>
      </c>
      <c r="F295" s="374"/>
      <c r="G295" s="374" t="s">
        <v>1098</v>
      </c>
      <c r="H295" s="374">
        <v>9.26</v>
      </c>
      <c r="I295" s="374">
        <v>120</v>
      </c>
      <c r="J295" s="374">
        <v>12.96</v>
      </c>
      <c r="K295" s="377" t="s">
        <v>1160</v>
      </c>
      <c r="L295" s="378">
        <v>8000</v>
      </c>
      <c r="M295" s="377"/>
      <c r="N295" s="377"/>
      <c r="O295" s="377"/>
      <c r="P295" s="374" t="s">
        <v>1095</v>
      </c>
    </row>
    <row r="296" spans="4:16" x14ac:dyDescent="0.25">
      <c r="D296" s="374" t="s">
        <v>997</v>
      </c>
      <c r="E296" s="374">
        <v>5</v>
      </c>
      <c r="F296" s="374"/>
      <c r="G296" s="374" t="s">
        <v>1099</v>
      </c>
      <c r="H296" s="374">
        <v>9.4600000000000009</v>
      </c>
      <c r="I296" s="374">
        <v>346</v>
      </c>
      <c r="J296" s="374">
        <v>36.58</v>
      </c>
      <c r="K296" s="377" t="s">
        <v>1160</v>
      </c>
      <c r="L296" s="378">
        <v>8000</v>
      </c>
      <c r="M296" s="377"/>
      <c r="N296" s="377"/>
      <c r="O296" s="377"/>
      <c r="P296" s="374" t="s">
        <v>1095</v>
      </c>
    </row>
    <row r="297" spans="4:16" ht="22.8" x14ac:dyDescent="0.25">
      <c r="D297" s="374" t="s">
        <v>997</v>
      </c>
      <c r="E297" s="374">
        <v>7</v>
      </c>
      <c r="F297" s="374"/>
      <c r="G297" s="374" t="s">
        <v>1100</v>
      </c>
      <c r="H297" s="374">
        <v>24.54</v>
      </c>
      <c r="I297" s="374">
        <v>323</v>
      </c>
      <c r="J297" s="374">
        <v>13.16</v>
      </c>
      <c r="K297" s="377" t="s">
        <v>1160</v>
      </c>
      <c r="L297" s="378">
        <v>8000</v>
      </c>
      <c r="M297" s="377"/>
      <c r="N297" s="377"/>
      <c r="O297" s="377"/>
      <c r="P297" s="374" t="s">
        <v>1095</v>
      </c>
    </row>
    <row r="298" spans="4:16" ht="22.8" x14ac:dyDescent="0.25">
      <c r="D298" s="374" t="s">
        <v>985</v>
      </c>
      <c r="E298" s="374">
        <v>8</v>
      </c>
      <c r="F298" s="374"/>
      <c r="G298" s="374" t="s">
        <v>1101</v>
      </c>
      <c r="H298" s="374">
        <v>11.27</v>
      </c>
      <c r="I298" s="374">
        <v>586</v>
      </c>
      <c r="J298" s="374">
        <v>52</v>
      </c>
      <c r="K298" s="377" t="s">
        <v>1160</v>
      </c>
      <c r="L298" s="378">
        <v>8000</v>
      </c>
      <c r="M298" s="377"/>
      <c r="N298" s="377"/>
      <c r="O298" s="377"/>
      <c r="P298" s="374" t="s">
        <v>1095</v>
      </c>
    </row>
    <row r="299" spans="4:16" ht="22.8" x14ac:dyDescent="0.25">
      <c r="D299" s="374" t="s">
        <v>985</v>
      </c>
      <c r="E299" s="374">
        <v>9</v>
      </c>
      <c r="F299" s="374"/>
      <c r="G299" s="374" t="s">
        <v>1102</v>
      </c>
      <c r="H299" s="374">
        <v>29.6</v>
      </c>
      <c r="I299" s="374">
        <v>701</v>
      </c>
      <c r="J299" s="374">
        <v>23.68</v>
      </c>
      <c r="K299" s="377" t="s">
        <v>1160</v>
      </c>
      <c r="L299" s="378">
        <v>8000</v>
      </c>
      <c r="M299" s="377"/>
      <c r="N299" s="377"/>
      <c r="O299" s="377"/>
      <c r="P299" s="374" t="s">
        <v>1095</v>
      </c>
    </row>
    <row r="300" spans="4:16" ht="45.6" x14ac:dyDescent="0.25">
      <c r="D300" s="374" t="s">
        <v>997</v>
      </c>
      <c r="E300" s="374">
        <v>9</v>
      </c>
      <c r="F300" s="374"/>
      <c r="G300" s="374" t="s">
        <v>1103</v>
      </c>
      <c r="H300" s="374">
        <v>25.54</v>
      </c>
      <c r="I300" s="374">
        <v>474</v>
      </c>
      <c r="J300" s="374">
        <v>18.559999999999999</v>
      </c>
      <c r="K300" s="377" t="s">
        <v>1160</v>
      </c>
      <c r="L300" s="378">
        <v>8000</v>
      </c>
      <c r="M300" s="377"/>
      <c r="N300" s="377"/>
      <c r="O300" s="377"/>
      <c r="P300" s="374" t="s">
        <v>1095</v>
      </c>
    </row>
    <row r="301" spans="4:16" ht="22.8" x14ac:dyDescent="0.25">
      <c r="D301" s="374" t="s">
        <v>985</v>
      </c>
      <c r="E301" s="374">
        <v>14</v>
      </c>
      <c r="F301" s="374"/>
      <c r="G301" s="374" t="s">
        <v>1104</v>
      </c>
      <c r="H301" s="374">
        <v>22.43</v>
      </c>
      <c r="I301" s="374">
        <v>404</v>
      </c>
      <c r="J301" s="374">
        <v>18.010000000000002</v>
      </c>
      <c r="K301" s="377" t="s">
        <v>1160</v>
      </c>
      <c r="L301" s="378">
        <v>8000</v>
      </c>
      <c r="M301" s="377"/>
      <c r="N301" s="377"/>
      <c r="O301" s="377"/>
      <c r="P301" s="374" t="s">
        <v>1095</v>
      </c>
    </row>
    <row r="302" spans="4:16" ht="22.8" x14ac:dyDescent="0.25">
      <c r="D302" s="374" t="s">
        <v>985</v>
      </c>
      <c r="E302" s="374">
        <v>17</v>
      </c>
      <c r="F302" s="374"/>
      <c r="G302" s="374" t="s">
        <v>1105</v>
      </c>
      <c r="H302" s="374">
        <v>63.21</v>
      </c>
      <c r="I302" s="375">
        <v>1532</v>
      </c>
      <c r="J302" s="374">
        <v>24.24</v>
      </c>
      <c r="K302" s="377" t="s">
        <v>1160</v>
      </c>
      <c r="L302" s="378">
        <v>8000</v>
      </c>
      <c r="M302" s="377"/>
      <c r="N302" s="377"/>
      <c r="O302" s="377"/>
      <c r="P302" s="374" t="s">
        <v>1095</v>
      </c>
    </row>
    <row r="303" spans="4:16" ht="22.8" x14ac:dyDescent="0.25">
      <c r="D303" s="374" t="s">
        <v>997</v>
      </c>
      <c r="E303" s="374">
        <v>12</v>
      </c>
      <c r="F303" s="374"/>
      <c r="G303" s="374" t="s">
        <v>1106</v>
      </c>
      <c r="H303" s="374">
        <v>4.9000000000000004</v>
      </c>
      <c r="I303" s="374">
        <v>293</v>
      </c>
      <c r="J303" s="374">
        <v>59.8</v>
      </c>
      <c r="K303" s="377" t="s">
        <v>1160</v>
      </c>
      <c r="L303" s="378">
        <v>8000</v>
      </c>
      <c r="M303" s="377"/>
      <c r="N303" s="377"/>
      <c r="O303" s="377"/>
      <c r="P303" s="374" t="s">
        <v>1095</v>
      </c>
    </row>
    <row r="304" spans="4:16" ht="22.8" x14ac:dyDescent="0.25">
      <c r="D304" s="374" t="s">
        <v>997</v>
      </c>
      <c r="E304" s="374">
        <v>13</v>
      </c>
      <c r="F304" s="374"/>
      <c r="G304" s="374" t="s">
        <v>1107</v>
      </c>
      <c r="H304" s="374">
        <v>16.05</v>
      </c>
      <c r="I304" s="374">
        <v>160</v>
      </c>
      <c r="J304" s="374">
        <v>9.9700000000000006</v>
      </c>
      <c r="K304" s="377" t="s">
        <v>1160</v>
      </c>
      <c r="L304" s="378">
        <v>8000</v>
      </c>
      <c r="M304" s="377"/>
      <c r="N304" s="377"/>
      <c r="O304" s="377"/>
      <c r="P304" s="374" t="s">
        <v>1095</v>
      </c>
    </row>
    <row r="305" spans="4:16" x14ac:dyDescent="0.25">
      <c r="D305" s="374" t="s">
        <v>988</v>
      </c>
      <c r="E305" s="374">
        <v>9</v>
      </c>
      <c r="F305" s="374"/>
      <c r="G305" s="374" t="s">
        <v>1108</v>
      </c>
      <c r="H305" s="374">
        <v>33.619999999999997</v>
      </c>
      <c r="I305" s="374">
        <v>576</v>
      </c>
      <c r="J305" s="374">
        <v>17.13</v>
      </c>
      <c r="K305" s="377" t="s">
        <v>1160</v>
      </c>
      <c r="L305" s="378">
        <v>8000</v>
      </c>
      <c r="M305" s="377"/>
      <c r="N305" s="377"/>
      <c r="O305" s="377"/>
      <c r="P305" s="374" t="s">
        <v>1095</v>
      </c>
    </row>
    <row r="306" spans="4:16" ht="34.200000000000003" x14ac:dyDescent="0.25">
      <c r="D306" s="374" t="s">
        <v>997</v>
      </c>
      <c r="E306" s="374">
        <v>15</v>
      </c>
      <c r="F306" s="374"/>
      <c r="G306" s="374" t="s">
        <v>1109</v>
      </c>
      <c r="H306" s="374">
        <v>25.71</v>
      </c>
      <c r="I306" s="374">
        <v>323</v>
      </c>
      <c r="J306" s="374">
        <v>12.56</v>
      </c>
      <c r="K306" s="377" t="s">
        <v>1160</v>
      </c>
      <c r="L306" s="378">
        <v>8000</v>
      </c>
      <c r="M306" s="377"/>
      <c r="N306" s="377"/>
      <c r="O306" s="377"/>
      <c r="P306" s="374" t="s">
        <v>1095</v>
      </c>
    </row>
    <row r="307" spans="4:16" ht="68.400000000000006" x14ac:dyDescent="0.25">
      <c r="D307" s="374" t="s">
        <v>985</v>
      </c>
      <c r="E307" s="374">
        <v>21</v>
      </c>
      <c r="F307" s="374"/>
      <c r="G307" s="374" t="s">
        <v>1110</v>
      </c>
      <c r="H307" s="374">
        <v>16.68</v>
      </c>
      <c r="I307" s="374">
        <v>166</v>
      </c>
      <c r="J307" s="374">
        <v>9.9499999999999993</v>
      </c>
      <c r="K307" s="377" t="s">
        <v>1160</v>
      </c>
      <c r="L307" s="378">
        <v>8000</v>
      </c>
      <c r="M307" s="377"/>
      <c r="N307" s="377"/>
      <c r="O307" s="377"/>
      <c r="P307" s="374" t="s">
        <v>1095</v>
      </c>
    </row>
    <row r="308" spans="4:16" x14ac:dyDescent="0.25">
      <c r="D308" s="374" t="s">
        <v>997</v>
      </c>
      <c r="E308" s="374">
        <v>18</v>
      </c>
      <c r="F308" s="374"/>
      <c r="G308" s="374" t="s">
        <v>1111</v>
      </c>
      <c r="H308" s="374">
        <v>8.92</v>
      </c>
      <c r="I308" s="374">
        <v>294</v>
      </c>
      <c r="J308" s="374">
        <v>32.96</v>
      </c>
      <c r="K308" s="377" t="s">
        <v>1160</v>
      </c>
      <c r="L308" s="378">
        <v>8000</v>
      </c>
      <c r="M308" s="377"/>
      <c r="N308" s="377"/>
      <c r="O308" s="377"/>
      <c r="P308" s="374" t="s">
        <v>1095</v>
      </c>
    </row>
    <row r="309" spans="4:16" ht="45.6" x14ac:dyDescent="0.25">
      <c r="D309" s="374" t="s">
        <v>997</v>
      </c>
      <c r="E309" s="374">
        <v>23</v>
      </c>
      <c r="F309" s="374"/>
      <c r="G309" s="374" t="s">
        <v>1112</v>
      </c>
      <c r="H309" s="374">
        <v>40.53</v>
      </c>
      <c r="I309" s="374">
        <v>242</v>
      </c>
      <c r="J309" s="374">
        <v>5.97</v>
      </c>
      <c r="K309" s="377" t="s">
        <v>1160</v>
      </c>
      <c r="L309" s="378">
        <v>8000</v>
      </c>
      <c r="M309" s="377"/>
      <c r="N309" s="377"/>
      <c r="O309" s="377"/>
      <c r="P309" s="374" t="s">
        <v>1095</v>
      </c>
    </row>
    <row r="310" spans="4:16" x14ac:dyDescent="0.25">
      <c r="D310" s="374" t="s">
        <v>985</v>
      </c>
      <c r="E310" s="374">
        <v>27</v>
      </c>
      <c r="F310" s="374"/>
      <c r="G310" s="374" t="s">
        <v>1113</v>
      </c>
      <c r="H310" s="374">
        <v>67.77</v>
      </c>
      <c r="I310" s="375">
        <v>2020</v>
      </c>
      <c r="J310" s="374">
        <v>29.81</v>
      </c>
      <c r="K310" s="377" t="s">
        <v>1160</v>
      </c>
      <c r="L310" s="378">
        <v>8000</v>
      </c>
      <c r="M310" s="377"/>
      <c r="N310" s="377"/>
      <c r="O310" s="377"/>
      <c r="P310" s="374" t="s">
        <v>1095</v>
      </c>
    </row>
    <row r="311" spans="4:16" ht="34.200000000000003" x14ac:dyDescent="0.25">
      <c r="D311" s="374" t="s">
        <v>997</v>
      </c>
      <c r="E311" s="374">
        <v>25</v>
      </c>
      <c r="F311" s="374"/>
      <c r="G311" s="374" t="s">
        <v>1114</v>
      </c>
      <c r="H311" s="374">
        <v>8.32</v>
      </c>
      <c r="I311" s="374">
        <v>682</v>
      </c>
      <c r="J311" s="374">
        <v>81.97</v>
      </c>
      <c r="K311" s="377" t="s">
        <v>1160</v>
      </c>
      <c r="L311" s="378">
        <v>8000</v>
      </c>
      <c r="M311" s="377"/>
      <c r="N311" s="377"/>
      <c r="O311" s="377"/>
      <c r="P311" s="374" t="s">
        <v>1095</v>
      </c>
    </row>
    <row r="312" spans="4:16" ht="45.6" x14ac:dyDescent="0.25">
      <c r="D312" s="374" t="s">
        <v>982</v>
      </c>
      <c r="E312" s="374">
        <v>23</v>
      </c>
      <c r="F312" s="374"/>
      <c r="G312" s="374" t="s">
        <v>1115</v>
      </c>
      <c r="H312" s="374">
        <v>16.66</v>
      </c>
      <c r="I312" s="374">
        <v>482</v>
      </c>
      <c r="J312" s="374">
        <v>28.93</v>
      </c>
      <c r="K312" s="377" t="s">
        <v>1160</v>
      </c>
      <c r="L312" s="378">
        <v>8000</v>
      </c>
      <c r="M312" s="377"/>
      <c r="N312" s="377"/>
      <c r="O312" s="377"/>
      <c r="P312" s="374" t="s">
        <v>1095</v>
      </c>
    </row>
    <row r="313" spans="4:16" ht="22.8" x14ac:dyDescent="0.25">
      <c r="D313" s="374" t="s">
        <v>997</v>
      </c>
      <c r="E313" s="374">
        <v>32</v>
      </c>
      <c r="F313" s="374"/>
      <c r="G313" s="374" t="s">
        <v>1116</v>
      </c>
      <c r="H313" s="374">
        <v>12.4</v>
      </c>
      <c r="I313" s="374">
        <v>674</v>
      </c>
      <c r="J313" s="374">
        <v>54.35</v>
      </c>
      <c r="K313" s="377" t="s">
        <v>1160</v>
      </c>
      <c r="L313" s="378">
        <v>8000</v>
      </c>
      <c r="M313" s="377"/>
      <c r="N313" s="377"/>
      <c r="O313" s="377"/>
      <c r="P313" s="374" t="s">
        <v>1095</v>
      </c>
    </row>
    <row r="314" spans="4:16" ht="22.8" x14ac:dyDescent="0.25">
      <c r="D314" s="374" t="s">
        <v>997</v>
      </c>
      <c r="E314" s="374">
        <v>33</v>
      </c>
      <c r="F314" s="374"/>
      <c r="G314" s="374" t="s">
        <v>1117</v>
      </c>
      <c r="H314" s="374">
        <v>8.1999999999999993</v>
      </c>
      <c r="I314" s="374">
        <v>283</v>
      </c>
      <c r="J314" s="374">
        <v>34.51</v>
      </c>
      <c r="K314" s="377" t="s">
        <v>1160</v>
      </c>
      <c r="L314" s="378">
        <v>8000</v>
      </c>
      <c r="M314" s="377"/>
      <c r="N314" s="377"/>
      <c r="O314" s="377"/>
      <c r="P314" s="374" t="s">
        <v>1095</v>
      </c>
    </row>
    <row r="315" spans="4:16" ht="22.8" x14ac:dyDescent="0.25">
      <c r="D315" s="374" t="s">
        <v>988</v>
      </c>
      <c r="E315" s="374">
        <v>18</v>
      </c>
      <c r="F315" s="374"/>
      <c r="G315" s="374" t="s">
        <v>1118</v>
      </c>
      <c r="H315" s="374">
        <v>45.44</v>
      </c>
      <c r="I315" s="374">
        <v>644</v>
      </c>
      <c r="J315" s="374">
        <v>14.17</v>
      </c>
      <c r="K315" s="377" t="s">
        <v>1160</v>
      </c>
      <c r="L315" s="378">
        <v>8000</v>
      </c>
      <c r="M315" s="377"/>
      <c r="N315" s="377"/>
      <c r="O315" s="377"/>
      <c r="P315" s="374" t="s">
        <v>1095</v>
      </c>
    </row>
    <row r="316" spans="4:16" ht="22.8" x14ac:dyDescent="0.25">
      <c r="D316" s="374" t="s">
        <v>985</v>
      </c>
      <c r="E316" s="374">
        <v>36</v>
      </c>
      <c r="F316" s="374"/>
      <c r="G316" s="374" t="s">
        <v>1119</v>
      </c>
      <c r="H316" s="374">
        <v>32.6</v>
      </c>
      <c r="I316" s="375">
        <v>1193</v>
      </c>
      <c r="J316" s="374">
        <v>36.6</v>
      </c>
      <c r="K316" s="377" t="s">
        <v>1160</v>
      </c>
      <c r="L316" s="378">
        <v>8000</v>
      </c>
      <c r="M316" s="377"/>
      <c r="N316" s="377"/>
      <c r="O316" s="377"/>
      <c r="P316" s="374" t="s">
        <v>1095</v>
      </c>
    </row>
    <row r="317" spans="4:16" ht="22.8" x14ac:dyDescent="0.25">
      <c r="D317" s="374" t="s">
        <v>985</v>
      </c>
      <c r="E317" s="374">
        <v>37</v>
      </c>
      <c r="F317" s="374"/>
      <c r="G317" s="374" t="s">
        <v>1120</v>
      </c>
      <c r="H317" s="374">
        <v>7.73</v>
      </c>
      <c r="I317" s="374">
        <v>122</v>
      </c>
      <c r="J317" s="374">
        <v>15.78</v>
      </c>
      <c r="K317" s="377" t="s">
        <v>1160</v>
      </c>
      <c r="L317" s="378">
        <v>8000</v>
      </c>
      <c r="M317" s="377"/>
      <c r="N317" s="377"/>
      <c r="O317" s="377"/>
      <c r="P317" s="374" t="s">
        <v>1095</v>
      </c>
    </row>
    <row r="318" spans="4:16" ht="22.8" x14ac:dyDescent="0.25">
      <c r="D318" s="374" t="s">
        <v>997</v>
      </c>
      <c r="E318" s="374">
        <v>34</v>
      </c>
      <c r="F318" s="374"/>
      <c r="G318" s="374" t="s">
        <v>1121</v>
      </c>
      <c r="H318" s="374">
        <v>30.72</v>
      </c>
      <c r="I318" s="374">
        <v>190</v>
      </c>
      <c r="J318" s="374">
        <v>6.18</v>
      </c>
      <c r="K318" s="377" t="s">
        <v>1160</v>
      </c>
      <c r="L318" s="378">
        <v>8000</v>
      </c>
      <c r="M318" s="377"/>
      <c r="N318" s="377"/>
      <c r="O318" s="377"/>
      <c r="P318" s="374" t="s">
        <v>1095</v>
      </c>
    </row>
    <row r="319" spans="4:16" ht="22.8" x14ac:dyDescent="0.25">
      <c r="D319" s="374" t="s">
        <v>982</v>
      </c>
      <c r="E319" s="374">
        <v>34</v>
      </c>
      <c r="F319" s="374"/>
      <c r="G319" s="374" t="s">
        <v>1122</v>
      </c>
      <c r="H319" s="374">
        <v>28.81</v>
      </c>
      <c r="I319" s="375">
        <v>1636</v>
      </c>
      <c r="J319" s="374">
        <v>56.79</v>
      </c>
      <c r="K319" s="377" t="s">
        <v>1160</v>
      </c>
      <c r="L319" s="378">
        <v>8000</v>
      </c>
      <c r="M319" s="377"/>
      <c r="N319" s="377"/>
      <c r="O319" s="377"/>
      <c r="P319" s="374" t="s">
        <v>1095</v>
      </c>
    </row>
    <row r="320" spans="4:16" x14ac:dyDescent="0.25">
      <c r="D320" s="374" t="s">
        <v>985</v>
      </c>
      <c r="E320" s="374">
        <v>39</v>
      </c>
      <c r="F320" s="374"/>
      <c r="G320" s="374" t="s">
        <v>1123</v>
      </c>
      <c r="H320" s="374">
        <v>20.02</v>
      </c>
      <c r="I320" s="374">
        <v>538</v>
      </c>
      <c r="J320" s="374">
        <v>26.87</v>
      </c>
      <c r="K320" s="377" t="s">
        <v>1160</v>
      </c>
      <c r="L320" s="378">
        <v>8000</v>
      </c>
      <c r="M320" s="377"/>
      <c r="N320" s="377"/>
      <c r="O320" s="377"/>
      <c r="P320" s="374" t="s">
        <v>1095</v>
      </c>
    </row>
    <row r="321" spans="4:16" ht="22.8" x14ac:dyDescent="0.25">
      <c r="D321" s="374" t="s">
        <v>982</v>
      </c>
      <c r="E321" s="374">
        <v>38</v>
      </c>
      <c r="F321" s="374"/>
      <c r="G321" s="374" t="s">
        <v>1124</v>
      </c>
      <c r="H321" s="374">
        <v>17.54</v>
      </c>
      <c r="I321" s="374">
        <v>233</v>
      </c>
      <c r="J321" s="374">
        <v>13.28</v>
      </c>
      <c r="K321" s="377" t="s">
        <v>1160</v>
      </c>
      <c r="L321" s="378">
        <v>8000</v>
      </c>
      <c r="M321" s="377"/>
      <c r="N321" s="377"/>
      <c r="O321" s="377"/>
      <c r="P321" s="374" t="s">
        <v>1095</v>
      </c>
    </row>
    <row r="322" spans="4:16" ht="22.8" x14ac:dyDescent="0.25">
      <c r="D322" s="374" t="s">
        <v>985</v>
      </c>
      <c r="E322" s="374">
        <v>40</v>
      </c>
      <c r="F322" s="374"/>
      <c r="G322" s="374" t="s">
        <v>1125</v>
      </c>
      <c r="H322" s="374">
        <v>37.49</v>
      </c>
      <c r="I322" s="374">
        <v>851</v>
      </c>
      <c r="J322" s="374">
        <v>22.7</v>
      </c>
      <c r="K322" s="377" t="s">
        <v>1160</v>
      </c>
      <c r="L322" s="378">
        <v>8000</v>
      </c>
      <c r="M322" s="377"/>
      <c r="N322" s="377"/>
      <c r="O322" s="377"/>
      <c r="P322" s="374" t="s">
        <v>1095</v>
      </c>
    </row>
    <row r="323" spans="4:16" x14ac:dyDescent="0.25">
      <c r="D323" s="374" t="s">
        <v>985</v>
      </c>
      <c r="E323" s="374">
        <v>41</v>
      </c>
      <c r="F323" s="374"/>
      <c r="G323" s="374" t="s">
        <v>1126</v>
      </c>
      <c r="H323" s="374">
        <v>21.56</v>
      </c>
      <c r="I323" s="374">
        <v>212</v>
      </c>
      <c r="J323" s="374">
        <v>9.83</v>
      </c>
      <c r="K323" s="377" t="s">
        <v>1160</v>
      </c>
      <c r="L323" s="378">
        <v>8000</v>
      </c>
      <c r="M323" s="377"/>
      <c r="N323" s="377"/>
      <c r="O323" s="377"/>
      <c r="P323" s="374" t="s">
        <v>1095</v>
      </c>
    </row>
    <row r="324" spans="4:16" ht="22.8" x14ac:dyDescent="0.25">
      <c r="D324" s="374" t="s">
        <v>982</v>
      </c>
      <c r="E324" s="374">
        <v>41</v>
      </c>
      <c r="F324" s="374"/>
      <c r="G324" s="374" t="s">
        <v>1127</v>
      </c>
      <c r="H324" s="374">
        <v>29.58</v>
      </c>
      <c r="I324" s="374">
        <v>954</v>
      </c>
      <c r="J324" s="374">
        <v>32.25</v>
      </c>
      <c r="K324" s="377" t="s">
        <v>1160</v>
      </c>
      <c r="L324" s="378">
        <v>8000</v>
      </c>
      <c r="M324" s="377"/>
      <c r="N324" s="377"/>
      <c r="O324" s="377"/>
      <c r="P324" s="374" t="s">
        <v>1095</v>
      </c>
    </row>
    <row r="325" spans="4:16" ht="45.6" x14ac:dyDescent="0.25">
      <c r="D325" s="374" t="s">
        <v>997</v>
      </c>
      <c r="E325" s="374">
        <v>38</v>
      </c>
      <c r="F325" s="374"/>
      <c r="G325" s="374" t="s">
        <v>1128</v>
      </c>
      <c r="H325" s="374">
        <v>13.84</v>
      </c>
      <c r="I325" s="374">
        <v>211</v>
      </c>
      <c r="J325" s="374">
        <v>15.25</v>
      </c>
      <c r="K325" s="377" t="s">
        <v>1160</v>
      </c>
      <c r="L325" s="378">
        <v>8000</v>
      </c>
      <c r="M325" s="377"/>
      <c r="N325" s="377"/>
      <c r="O325" s="377"/>
      <c r="P325" s="374" t="s">
        <v>1095</v>
      </c>
    </row>
    <row r="326" spans="4:16" x14ac:dyDescent="0.25">
      <c r="D326" s="374" t="s">
        <v>985</v>
      </c>
      <c r="E326" s="374">
        <v>43</v>
      </c>
      <c r="F326" s="374"/>
      <c r="G326" s="374" t="s">
        <v>1129</v>
      </c>
      <c r="H326" s="374">
        <v>8.23</v>
      </c>
      <c r="I326" s="374">
        <v>224</v>
      </c>
      <c r="J326" s="374">
        <v>27.22</v>
      </c>
      <c r="K326" s="377" t="s">
        <v>1160</v>
      </c>
      <c r="L326" s="378">
        <v>8000</v>
      </c>
      <c r="M326" s="377"/>
      <c r="N326" s="377"/>
      <c r="O326" s="377"/>
      <c r="P326" s="374" t="s">
        <v>1095</v>
      </c>
    </row>
    <row r="327" spans="4:16" x14ac:dyDescent="0.25">
      <c r="D327" s="374" t="s">
        <v>985</v>
      </c>
      <c r="E327" s="374">
        <v>46</v>
      </c>
      <c r="F327" s="374"/>
      <c r="G327" s="374" t="s">
        <v>1130</v>
      </c>
      <c r="H327" s="374">
        <v>29.15</v>
      </c>
      <c r="I327" s="374">
        <v>458</v>
      </c>
      <c r="J327" s="374">
        <v>15.71</v>
      </c>
      <c r="K327" s="377" t="s">
        <v>1160</v>
      </c>
      <c r="L327" s="378">
        <v>8000</v>
      </c>
      <c r="M327" s="377"/>
      <c r="N327" s="377"/>
      <c r="O327" s="377"/>
      <c r="P327" s="374" t="s">
        <v>1095</v>
      </c>
    </row>
    <row r="328" spans="4:16" ht="22.8" x14ac:dyDescent="0.25">
      <c r="D328" s="374" t="s">
        <v>985</v>
      </c>
      <c r="E328" s="374">
        <v>47</v>
      </c>
      <c r="F328" s="374"/>
      <c r="G328" s="374" t="s">
        <v>1131</v>
      </c>
      <c r="H328" s="374">
        <v>21.3</v>
      </c>
      <c r="I328" s="374">
        <v>940</v>
      </c>
      <c r="J328" s="374">
        <v>44.13</v>
      </c>
      <c r="K328" s="377" t="s">
        <v>1160</v>
      </c>
      <c r="L328" s="378">
        <v>8000</v>
      </c>
      <c r="M328" s="377"/>
      <c r="N328" s="377"/>
      <c r="O328" s="377"/>
      <c r="P328" s="374" t="s">
        <v>1095</v>
      </c>
    </row>
    <row r="329" spans="4:16" ht="22.8" x14ac:dyDescent="0.25">
      <c r="D329" s="374" t="s">
        <v>997</v>
      </c>
      <c r="E329" s="374">
        <v>40</v>
      </c>
      <c r="F329" s="374"/>
      <c r="G329" s="374" t="s">
        <v>1132</v>
      </c>
      <c r="H329" s="374">
        <v>21.04</v>
      </c>
      <c r="I329" s="374">
        <v>913</v>
      </c>
      <c r="J329" s="374">
        <v>43.39</v>
      </c>
      <c r="K329" s="377" t="s">
        <v>1160</v>
      </c>
      <c r="L329" s="378">
        <v>8000</v>
      </c>
      <c r="M329" s="377"/>
      <c r="N329" s="377"/>
      <c r="O329" s="377"/>
      <c r="P329" s="374" t="s">
        <v>1095</v>
      </c>
    </row>
    <row r="330" spans="4:16" ht="22.8" x14ac:dyDescent="0.25">
      <c r="D330" s="374" t="s">
        <v>985</v>
      </c>
      <c r="E330" s="374">
        <v>48</v>
      </c>
      <c r="F330" s="374"/>
      <c r="G330" s="374" t="s">
        <v>1133</v>
      </c>
      <c r="H330" s="374">
        <v>29.59</v>
      </c>
      <c r="I330" s="374">
        <v>843</v>
      </c>
      <c r="J330" s="374">
        <v>28.49</v>
      </c>
      <c r="K330" s="377" t="s">
        <v>1160</v>
      </c>
      <c r="L330" s="378">
        <v>8000</v>
      </c>
      <c r="M330" s="377"/>
      <c r="N330" s="377"/>
      <c r="O330" s="377"/>
      <c r="P330" s="374" t="s">
        <v>1095</v>
      </c>
    </row>
    <row r="331" spans="4:16" ht="34.200000000000003" x14ac:dyDescent="0.25">
      <c r="D331" s="374" t="s">
        <v>997</v>
      </c>
      <c r="E331" s="374">
        <v>42</v>
      </c>
      <c r="F331" s="374"/>
      <c r="G331" s="374" t="s">
        <v>1134</v>
      </c>
      <c r="H331" s="374">
        <v>40.61</v>
      </c>
      <c r="I331" s="375">
        <v>1411</v>
      </c>
      <c r="J331" s="374">
        <v>34.75</v>
      </c>
      <c r="K331" s="377" t="s">
        <v>1160</v>
      </c>
      <c r="L331" s="378">
        <v>8000</v>
      </c>
      <c r="M331" s="377"/>
      <c r="N331" s="377"/>
      <c r="O331" s="377"/>
      <c r="P331" s="374" t="s">
        <v>1095</v>
      </c>
    </row>
    <row r="332" spans="4:16" x14ac:dyDescent="0.25">
      <c r="D332" s="374" t="s">
        <v>997</v>
      </c>
      <c r="E332" s="374">
        <v>43</v>
      </c>
      <c r="F332" s="374"/>
      <c r="G332" s="374" t="s">
        <v>1135</v>
      </c>
      <c r="H332" s="374">
        <v>53.7</v>
      </c>
      <c r="I332" s="374">
        <v>870</v>
      </c>
      <c r="J332" s="374">
        <v>16.2</v>
      </c>
      <c r="K332" s="377" t="s">
        <v>1160</v>
      </c>
      <c r="L332" s="378">
        <v>8000</v>
      </c>
      <c r="M332" s="377"/>
      <c r="N332" s="377"/>
      <c r="O332" s="377"/>
      <c r="P332" s="374" t="s">
        <v>1095</v>
      </c>
    </row>
    <row r="333" spans="4:16" ht="22.8" x14ac:dyDescent="0.25">
      <c r="D333" s="374" t="s">
        <v>988</v>
      </c>
      <c r="E333" s="374">
        <v>21</v>
      </c>
      <c r="F333" s="374"/>
      <c r="G333" s="374" t="s">
        <v>1136</v>
      </c>
      <c r="H333" s="374">
        <v>16.21</v>
      </c>
      <c r="I333" s="374">
        <v>600</v>
      </c>
      <c r="J333" s="374">
        <v>37.01</v>
      </c>
      <c r="K333" s="377" t="s">
        <v>1160</v>
      </c>
      <c r="L333" s="378">
        <v>8000</v>
      </c>
      <c r="M333" s="377"/>
      <c r="N333" s="377"/>
      <c r="O333" s="377"/>
      <c r="P333" s="374" t="s">
        <v>1095</v>
      </c>
    </row>
    <row r="334" spans="4:16" x14ac:dyDescent="0.25">
      <c r="D334" s="374" t="s">
        <v>997</v>
      </c>
      <c r="E334" s="374">
        <v>47</v>
      </c>
      <c r="F334" s="374"/>
      <c r="G334" s="374" t="s">
        <v>1137</v>
      </c>
      <c r="H334" s="374">
        <v>15.38</v>
      </c>
      <c r="I334" s="374">
        <v>485</v>
      </c>
      <c r="J334" s="374">
        <v>31.53</v>
      </c>
      <c r="K334" s="377" t="s">
        <v>1160</v>
      </c>
      <c r="L334" s="378">
        <v>8000</v>
      </c>
      <c r="M334" s="377"/>
      <c r="N334" s="377"/>
      <c r="O334" s="377"/>
      <c r="P334" s="374" t="s">
        <v>1095</v>
      </c>
    </row>
    <row r="335" spans="4:16" x14ac:dyDescent="0.25">
      <c r="D335" s="374" t="s">
        <v>997</v>
      </c>
      <c r="E335" s="374">
        <v>48</v>
      </c>
      <c r="F335" s="374"/>
      <c r="G335" s="374" t="s">
        <v>1138</v>
      </c>
      <c r="H335" s="374">
        <v>11.73</v>
      </c>
      <c r="I335" s="374">
        <v>550</v>
      </c>
      <c r="J335" s="374">
        <v>46.89</v>
      </c>
      <c r="K335" s="377" t="s">
        <v>1160</v>
      </c>
      <c r="L335" s="378">
        <v>8000</v>
      </c>
      <c r="M335" s="377"/>
      <c r="N335" s="377"/>
      <c r="O335" s="377"/>
      <c r="P335" s="374" t="s">
        <v>1095</v>
      </c>
    </row>
    <row r="336" spans="4:16" x14ac:dyDescent="0.25">
      <c r="D336" s="374" t="s">
        <v>997</v>
      </c>
      <c r="E336" s="374">
        <v>49</v>
      </c>
      <c r="F336" s="374"/>
      <c r="G336" s="374" t="s">
        <v>1139</v>
      </c>
      <c r="H336" s="374">
        <v>37.42</v>
      </c>
      <c r="I336" s="374">
        <v>366</v>
      </c>
      <c r="J336" s="374">
        <v>9.7799999999999994</v>
      </c>
      <c r="K336" s="377" t="s">
        <v>1160</v>
      </c>
      <c r="L336" s="378">
        <v>8000</v>
      </c>
      <c r="M336" s="377"/>
      <c r="N336" s="377"/>
      <c r="O336" s="377"/>
      <c r="P336" s="374" t="s">
        <v>1095</v>
      </c>
    </row>
    <row r="337" spans="4:16" ht="22.8" x14ac:dyDescent="0.25">
      <c r="D337" s="374" t="s">
        <v>982</v>
      </c>
      <c r="E337" s="374">
        <v>48</v>
      </c>
      <c r="F337" s="374"/>
      <c r="G337" s="374" t="s">
        <v>1140</v>
      </c>
      <c r="H337" s="374">
        <v>105.2</v>
      </c>
      <c r="I337" s="375">
        <v>1048</v>
      </c>
      <c r="J337" s="374">
        <v>9.9600000000000009</v>
      </c>
      <c r="K337" s="377" t="s">
        <v>1160</v>
      </c>
      <c r="L337" s="378">
        <v>8000</v>
      </c>
      <c r="M337" s="377"/>
      <c r="N337" s="377"/>
      <c r="O337" s="377"/>
      <c r="P337" s="374" t="s">
        <v>1095</v>
      </c>
    </row>
    <row r="338" spans="4:16" x14ac:dyDescent="0.25">
      <c r="D338" s="374" t="s">
        <v>985</v>
      </c>
      <c r="E338" s="374">
        <v>53</v>
      </c>
      <c r="F338" s="374"/>
      <c r="G338" s="374" t="s">
        <v>1141</v>
      </c>
      <c r="H338" s="374">
        <v>19.84</v>
      </c>
      <c r="I338" s="374">
        <v>542</v>
      </c>
      <c r="J338" s="374">
        <v>27.32</v>
      </c>
      <c r="K338" s="377" t="s">
        <v>1160</v>
      </c>
      <c r="L338" s="378">
        <v>8000</v>
      </c>
      <c r="M338" s="377"/>
      <c r="N338" s="377"/>
      <c r="O338" s="377"/>
      <c r="P338" s="374" t="s">
        <v>1095</v>
      </c>
    </row>
    <row r="339" spans="4:16" ht="34.200000000000003" x14ac:dyDescent="0.25">
      <c r="D339" s="374" t="s">
        <v>985</v>
      </c>
      <c r="E339" s="374">
        <v>54</v>
      </c>
      <c r="F339" s="374"/>
      <c r="G339" s="374" t="s">
        <v>1142</v>
      </c>
      <c r="H339" s="374">
        <v>17.46</v>
      </c>
      <c r="I339" s="374">
        <v>731</v>
      </c>
      <c r="J339" s="374">
        <v>41.87</v>
      </c>
      <c r="K339" s="377" t="s">
        <v>1160</v>
      </c>
      <c r="L339" s="378">
        <v>8000</v>
      </c>
      <c r="M339" s="377"/>
      <c r="N339" s="377"/>
      <c r="O339" s="377"/>
      <c r="P339" s="374" t="s">
        <v>1095</v>
      </c>
    </row>
    <row r="340" spans="4:16" ht="45.6" x14ac:dyDescent="0.25">
      <c r="D340" s="374" t="s">
        <v>997</v>
      </c>
      <c r="E340" s="374">
        <v>51</v>
      </c>
      <c r="F340" s="374"/>
      <c r="G340" s="374" t="s">
        <v>1143</v>
      </c>
      <c r="H340" s="374">
        <v>15.04</v>
      </c>
      <c r="I340" s="374">
        <v>270</v>
      </c>
      <c r="J340" s="374">
        <v>17.95</v>
      </c>
      <c r="K340" s="377" t="s">
        <v>1160</v>
      </c>
      <c r="L340" s="378">
        <v>8000</v>
      </c>
      <c r="M340" s="377"/>
      <c r="N340" s="377"/>
      <c r="O340" s="377"/>
      <c r="P340" s="374" t="s">
        <v>1095</v>
      </c>
    </row>
    <row r="341" spans="4:16" ht="22.8" x14ac:dyDescent="0.25">
      <c r="D341" s="374" t="s">
        <v>982</v>
      </c>
      <c r="E341" s="374">
        <v>50</v>
      </c>
      <c r="F341" s="374"/>
      <c r="G341" s="374" t="s">
        <v>1144</v>
      </c>
      <c r="H341" s="374">
        <v>12.63</v>
      </c>
      <c r="I341" s="374">
        <v>67</v>
      </c>
      <c r="J341" s="374">
        <v>5.3</v>
      </c>
      <c r="K341" s="377" t="s">
        <v>1160</v>
      </c>
      <c r="L341" s="378">
        <v>8000</v>
      </c>
      <c r="M341" s="377"/>
      <c r="N341" s="377"/>
      <c r="O341" s="377"/>
      <c r="P341" s="374" t="s">
        <v>1095</v>
      </c>
    </row>
    <row r="342" spans="4:16" ht="57" x14ac:dyDescent="0.25">
      <c r="D342" s="374" t="s">
        <v>982</v>
      </c>
      <c r="E342" s="374">
        <v>53</v>
      </c>
      <c r="F342" s="374"/>
      <c r="G342" s="374" t="s">
        <v>1145</v>
      </c>
      <c r="H342" s="374">
        <v>41.23</v>
      </c>
      <c r="I342" s="375">
        <v>2693</v>
      </c>
      <c r="J342" s="374">
        <v>65.319999999999993</v>
      </c>
      <c r="K342" s="377" t="s">
        <v>1160</v>
      </c>
      <c r="L342" s="378">
        <v>8000</v>
      </c>
      <c r="M342" s="377"/>
      <c r="N342" s="377"/>
      <c r="O342" s="377"/>
      <c r="P342" s="374" t="s">
        <v>1095</v>
      </c>
    </row>
    <row r="343" spans="4:16" ht="57" x14ac:dyDescent="0.25">
      <c r="D343" s="374" t="s">
        <v>982</v>
      </c>
      <c r="E343" s="374">
        <v>56</v>
      </c>
      <c r="F343" s="374"/>
      <c r="G343" s="374" t="s">
        <v>1146</v>
      </c>
      <c r="H343" s="374">
        <v>55.26</v>
      </c>
      <c r="I343" s="375">
        <v>1189</v>
      </c>
      <c r="J343" s="374">
        <v>21.52</v>
      </c>
      <c r="K343" s="377" t="s">
        <v>1160</v>
      </c>
      <c r="L343" s="378">
        <v>8000</v>
      </c>
      <c r="M343" s="377"/>
      <c r="N343" s="377"/>
      <c r="O343" s="377"/>
      <c r="P343" s="374" t="s">
        <v>1095</v>
      </c>
    </row>
    <row r="344" spans="4:16" ht="22.8" x14ac:dyDescent="0.25">
      <c r="D344" s="374" t="s">
        <v>997</v>
      </c>
      <c r="E344" s="374">
        <v>57</v>
      </c>
      <c r="F344" s="374"/>
      <c r="G344" s="374" t="s">
        <v>1147</v>
      </c>
      <c r="H344" s="374">
        <v>4.91</v>
      </c>
      <c r="I344" s="374">
        <v>327</v>
      </c>
      <c r="J344" s="374">
        <v>66.599999999999994</v>
      </c>
      <c r="K344" s="377" t="s">
        <v>1160</v>
      </c>
      <c r="L344" s="378">
        <v>8000</v>
      </c>
      <c r="M344" s="377"/>
      <c r="N344" s="377"/>
      <c r="O344" s="377"/>
      <c r="P344" s="374" t="s">
        <v>1095</v>
      </c>
    </row>
    <row r="345" spans="4:16" ht="34.200000000000003" x14ac:dyDescent="0.25">
      <c r="D345" s="374" t="s">
        <v>988</v>
      </c>
      <c r="E345" s="374">
        <v>28</v>
      </c>
      <c r="F345" s="374"/>
      <c r="G345" s="374" t="s">
        <v>1148</v>
      </c>
      <c r="H345" s="374">
        <v>69.39</v>
      </c>
      <c r="I345" s="375">
        <v>1441</v>
      </c>
      <c r="J345" s="374">
        <v>20.77</v>
      </c>
      <c r="K345" s="377" t="s">
        <v>1160</v>
      </c>
      <c r="L345" s="378">
        <v>8000</v>
      </c>
      <c r="M345" s="377"/>
      <c r="N345" s="377"/>
      <c r="O345" s="377"/>
      <c r="P345" s="374" t="s">
        <v>1095</v>
      </c>
    </row>
    <row r="346" spans="4:16" ht="22.8" x14ac:dyDescent="0.25">
      <c r="D346" s="374" t="s">
        <v>985</v>
      </c>
      <c r="E346" s="374">
        <v>60</v>
      </c>
      <c r="F346" s="374"/>
      <c r="G346" s="374" t="s">
        <v>1149</v>
      </c>
      <c r="H346" s="374">
        <v>10.15</v>
      </c>
      <c r="I346" s="374">
        <v>208</v>
      </c>
      <c r="J346" s="374">
        <v>20.49</v>
      </c>
      <c r="K346" s="377" t="s">
        <v>1160</v>
      </c>
      <c r="L346" s="378">
        <v>8000</v>
      </c>
      <c r="M346" s="377"/>
      <c r="N346" s="377"/>
      <c r="O346" s="377"/>
      <c r="P346" s="374" t="s">
        <v>1095</v>
      </c>
    </row>
    <row r="347" spans="4:16" x14ac:dyDescent="0.25">
      <c r="D347" s="374" t="s">
        <v>997</v>
      </c>
      <c r="E347" s="374">
        <v>61</v>
      </c>
      <c r="F347" s="374"/>
      <c r="G347" s="374" t="s">
        <v>1150</v>
      </c>
      <c r="H347" s="374">
        <v>67.760000000000005</v>
      </c>
      <c r="I347" s="374">
        <v>387</v>
      </c>
      <c r="J347" s="374">
        <v>5.71</v>
      </c>
      <c r="K347" s="377" t="s">
        <v>1160</v>
      </c>
      <c r="L347" s="378">
        <v>8000</v>
      </c>
      <c r="M347" s="377"/>
      <c r="N347" s="377"/>
      <c r="O347" s="377"/>
      <c r="P347" s="374" t="s">
        <v>1095</v>
      </c>
    </row>
    <row r="348" spans="4:16" x14ac:dyDescent="0.25">
      <c r="D348" s="374" t="s">
        <v>985</v>
      </c>
      <c r="E348" s="374">
        <v>63</v>
      </c>
      <c r="F348" s="374"/>
      <c r="G348" s="374" t="s">
        <v>1151</v>
      </c>
      <c r="H348" s="374">
        <v>31.48</v>
      </c>
      <c r="I348" s="374">
        <v>744</v>
      </c>
      <c r="J348" s="374">
        <v>23.63</v>
      </c>
      <c r="K348" s="377" t="s">
        <v>1160</v>
      </c>
      <c r="L348" s="378">
        <v>8000</v>
      </c>
      <c r="M348" s="377"/>
      <c r="N348" s="377"/>
      <c r="O348" s="377"/>
      <c r="P348" s="374" t="s">
        <v>1095</v>
      </c>
    </row>
    <row r="349" spans="4:16" ht="22.8" x14ac:dyDescent="0.25">
      <c r="D349" s="374" t="s">
        <v>988</v>
      </c>
      <c r="E349" s="374">
        <v>29</v>
      </c>
      <c r="F349" s="374"/>
      <c r="G349" s="374" t="s">
        <v>1152</v>
      </c>
      <c r="H349" s="374">
        <v>136.56</v>
      </c>
      <c r="I349" s="375">
        <v>2091</v>
      </c>
      <c r="J349" s="374">
        <v>15.31</v>
      </c>
      <c r="K349" s="377" t="s">
        <v>1160</v>
      </c>
      <c r="L349" s="378">
        <v>8000</v>
      </c>
      <c r="M349" s="377"/>
      <c r="N349" s="377"/>
      <c r="O349" s="377"/>
      <c r="P349" s="374" t="s">
        <v>1095</v>
      </c>
    </row>
    <row r="350" spans="4:16" ht="22.8" x14ac:dyDescent="0.25">
      <c r="D350" s="374" t="s">
        <v>985</v>
      </c>
      <c r="E350" s="374">
        <v>66</v>
      </c>
      <c r="F350" s="374"/>
      <c r="G350" s="374" t="s">
        <v>1153</v>
      </c>
      <c r="H350" s="374">
        <v>10.11</v>
      </c>
      <c r="I350" s="374">
        <v>401</v>
      </c>
      <c r="J350" s="374">
        <v>39.659999999999997</v>
      </c>
      <c r="K350" s="377" t="s">
        <v>1160</v>
      </c>
      <c r="L350" s="378">
        <v>8000</v>
      </c>
      <c r="M350" s="377"/>
      <c r="N350" s="377"/>
      <c r="O350" s="377"/>
      <c r="P350" s="374" t="s">
        <v>1095</v>
      </c>
    </row>
    <row r="351" spans="4:16" ht="22.8" x14ac:dyDescent="0.25">
      <c r="D351" s="374" t="s">
        <v>988</v>
      </c>
      <c r="E351" s="374">
        <v>30</v>
      </c>
      <c r="F351" s="374"/>
      <c r="G351" s="374" t="s">
        <v>1154</v>
      </c>
      <c r="H351" s="374">
        <v>12.28</v>
      </c>
      <c r="I351" s="374">
        <v>899</v>
      </c>
      <c r="J351" s="374">
        <v>73.209999999999994</v>
      </c>
      <c r="K351" s="377" t="s">
        <v>1160</v>
      </c>
      <c r="L351" s="378">
        <v>8000</v>
      </c>
      <c r="M351" s="377"/>
      <c r="N351" s="377"/>
      <c r="O351" s="377"/>
      <c r="P351" s="374" t="s">
        <v>1095</v>
      </c>
    </row>
    <row r="352" spans="4:16" ht="22.8" x14ac:dyDescent="0.25">
      <c r="D352" s="374" t="s">
        <v>997</v>
      </c>
      <c r="E352" s="374">
        <v>66</v>
      </c>
      <c r="F352" s="374"/>
      <c r="G352" s="374" t="s">
        <v>1155</v>
      </c>
      <c r="H352" s="374">
        <v>10.35</v>
      </c>
      <c r="I352" s="374">
        <v>302</v>
      </c>
      <c r="J352" s="374">
        <v>29.18</v>
      </c>
      <c r="K352" s="377" t="s">
        <v>1160</v>
      </c>
      <c r="L352" s="378">
        <v>8000</v>
      </c>
      <c r="M352" s="377"/>
      <c r="N352" s="377"/>
      <c r="O352" s="377"/>
      <c r="P352" s="374" t="s">
        <v>1095</v>
      </c>
    </row>
    <row r="353" spans="4:16" x14ac:dyDescent="0.25">
      <c r="D353" s="374" t="s">
        <v>982</v>
      </c>
      <c r="E353" s="374">
        <v>66</v>
      </c>
      <c r="F353" s="374"/>
      <c r="G353" s="374" t="s">
        <v>1156</v>
      </c>
      <c r="H353" s="374">
        <v>33.200000000000003</v>
      </c>
      <c r="I353" s="374">
        <v>453</v>
      </c>
      <c r="J353" s="374">
        <v>13.64</v>
      </c>
      <c r="K353" s="377" t="s">
        <v>1160</v>
      </c>
      <c r="L353" s="378">
        <v>8000</v>
      </c>
      <c r="M353" s="377"/>
      <c r="N353" s="377"/>
      <c r="O353" s="377"/>
      <c r="P353" s="374" t="s">
        <v>1095</v>
      </c>
    </row>
    <row r="354" spans="4:16" ht="22.8" x14ac:dyDescent="0.25">
      <c r="D354" s="374" t="s">
        <v>988</v>
      </c>
      <c r="E354" s="374">
        <v>32</v>
      </c>
      <c r="F354" s="374"/>
      <c r="G354" s="374" t="s">
        <v>1157</v>
      </c>
      <c r="H354" s="374">
        <v>27.86</v>
      </c>
      <c r="I354" s="374">
        <v>542</v>
      </c>
      <c r="J354" s="374">
        <v>19.45</v>
      </c>
      <c r="K354" s="377" t="s">
        <v>1160</v>
      </c>
      <c r="L354" s="378">
        <v>8000</v>
      </c>
      <c r="M354" s="377"/>
      <c r="N354" s="377"/>
      <c r="O354" s="377"/>
      <c r="P354" s="374" t="s">
        <v>1095</v>
      </c>
    </row>
    <row r="355" spans="4:16" x14ac:dyDescent="0.25">
      <c r="D355"/>
      <c r="E355"/>
      <c r="F355"/>
      <c r="G355"/>
      <c r="H355"/>
      <c r="I355"/>
      <c r="J355"/>
      <c r="K355" s="97"/>
      <c r="L355" s="97"/>
      <c r="M355" s="97"/>
      <c r="N355" s="97"/>
      <c r="O355" s="97"/>
      <c r="P355"/>
    </row>
  </sheetData>
  <sheetProtection algorithmName="SHA-512" hashValue="WIzkKUpqSccJi1ciYKZHPcZNJi324gMpDoDjTcGpn+bKUwF8EWEPd0EBUNO6xPC3KdnHnBEGeApF466wg2+S+g==" saltValue="3AFurFbbO08CuoZDqnAqng==" spinCount="100000" sheet="1" formatCells="0" formatColumns="0" formatRows="0" insertColumns="0" insertRows="0" insertHyperlinks="0" deleteColumns="0" deleteRows="0" sort="0" autoFilter="0" pivotTables="0"/>
  <mergeCells count="94">
    <mergeCell ref="R89:T90"/>
    <mergeCell ref="B90:L90"/>
    <mergeCell ref="N90:O90"/>
    <mergeCell ref="B88:C88"/>
    <mergeCell ref="N94:O94"/>
    <mergeCell ref="N88:O88"/>
    <mergeCell ref="N92:O92"/>
    <mergeCell ref="B92:L92"/>
    <mergeCell ref="I34:J34"/>
    <mergeCell ref="B84:P84"/>
    <mergeCell ref="D86:G86"/>
    <mergeCell ref="N86:O86"/>
    <mergeCell ref="K86:L86"/>
    <mergeCell ref="H80:P80"/>
    <mergeCell ref="B80:G80"/>
    <mergeCell ref="D66:J66"/>
    <mergeCell ref="K66:P66"/>
    <mergeCell ref="I29:J29"/>
    <mergeCell ref="I30:J30"/>
    <mergeCell ref="I31:J31"/>
    <mergeCell ref="I32:J32"/>
    <mergeCell ref="I33:J33"/>
    <mergeCell ref="I19:J19"/>
    <mergeCell ref="I20:J20"/>
    <mergeCell ref="I21:J21"/>
    <mergeCell ref="I22:J22"/>
    <mergeCell ref="I23:J23"/>
    <mergeCell ref="I14:J14"/>
    <mergeCell ref="I15:J15"/>
    <mergeCell ref="I16:J16"/>
    <mergeCell ref="I17:J17"/>
    <mergeCell ref="I18:J18"/>
    <mergeCell ref="I9:J9"/>
    <mergeCell ref="I10:J10"/>
    <mergeCell ref="I11:J11"/>
    <mergeCell ref="I12:J12"/>
    <mergeCell ref="I13:J13"/>
    <mergeCell ref="I4:J4"/>
    <mergeCell ref="I5:J5"/>
    <mergeCell ref="I6:J6"/>
    <mergeCell ref="I7:J7"/>
    <mergeCell ref="I8:J8"/>
    <mergeCell ref="B2:P2"/>
    <mergeCell ref="B78:C78"/>
    <mergeCell ref="H78:P78"/>
    <mergeCell ref="B74:C74"/>
    <mergeCell ref="H74:P74"/>
    <mergeCell ref="B76:C76"/>
    <mergeCell ref="H76:P76"/>
    <mergeCell ref="B42:B43"/>
    <mergeCell ref="B48:B49"/>
    <mergeCell ref="B50:B51"/>
    <mergeCell ref="B44:B45"/>
    <mergeCell ref="C63:K63"/>
    <mergeCell ref="B46:B47"/>
    <mergeCell ref="B54:B55"/>
    <mergeCell ref="B57:B58"/>
    <mergeCell ref="C14:C16"/>
    <mergeCell ref="B14:B16"/>
    <mergeCell ref="B17:B19"/>
    <mergeCell ref="B33:B34"/>
    <mergeCell ref="C33:C34"/>
    <mergeCell ref="B5:B7"/>
    <mergeCell ref="C5:C7"/>
    <mergeCell ref="B8:B10"/>
    <mergeCell ref="C8:C10"/>
    <mergeCell ref="B11:B13"/>
    <mergeCell ref="C11:C13"/>
    <mergeCell ref="C17:C19"/>
    <mergeCell ref="B30:B32"/>
    <mergeCell ref="C30:C32"/>
    <mergeCell ref="B23:B25"/>
    <mergeCell ref="C23:C25"/>
    <mergeCell ref="B26:B28"/>
    <mergeCell ref="K20:K22"/>
    <mergeCell ref="B20:B22"/>
    <mergeCell ref="C20:C22"/>
    <mergeCell ref="K23:K25"/>
    <mergeCell ref="D27:D28"/>
    <mergeCell ref="E27:E28"/>
    <mergeCell ref="F27:F28"/>
    <mergeCell ref="G27:G28"/>
    <mergeCell ref="H27:H28"/>
    <mergeCell ref="I24:J24"/>
    <mergeCell ref="I25:J25"/>
    <mergeCell ref="I26:J26"/>
    <mergeCell ref="I27:J27"/>
    <mergeCell ref="I28:J28"/>
    <mergeCell ref="C26:C28"/>
    <mergeCell ref="D31:D32"/>
    <mergeCell ref="E31:E32"/>
    <mergeCell ref="F31:F32"/>
    <mergeCell ref="G31:G32"/>
    <mergeCell ref="H31:H32"/>
  </mergeCells>
  <conditionalFormatting sqref="K66">
    <cfRule type="cellIs" dxfId="57" priority="31" stopIfTrue="1" operator="equal">
      <formula>"CONTRIBUTO RICHIESTO CONFORME AL MINIMO DEL BANDO"</formula>
    </cfRule>
    <cfRule type="cellIs" dxfId="56" priority="33" stopIfTrue="1" operator="equal">
      <formula>"LA DOMANDA NON E' AMMISSIBILE"</formula>
    </cfRule>
  </conditionalFormatting>
  <conditionalFormatting sqref="P64">
    <cfRule type="cellIs" dxfId="55" priority="32" stopIfTrue="1" operator="lessThanOrEqual">
      <formula>4999.99</formula>
    </cfRule>
    <cfRule type="cellIs" dxfId="54" priority="34" stopIfTrue="1" operator="greaterThanOrEqual">
      <formula>5000</formula>
    </cfRule>
  </conditionalFormatting>
  <conditionalFormatting sqref="M63">
    <cfRule type="cellIs" dxfId="53" priority="26" stopIfTrue="1" operator="greaterThanOrEqual">
      <formula>12500</formula>
    </cfRule>
    <cfRule type="cellIs" dxfId="52" priority="29" stopIfTrue="1" operator="lessThanOrEqual">
      <formula>9999.99</formula>
    </cfRule>
    <cfRule type="cellIs" dxfId="51" priority="30" stopIfTrue="1" operator="between">
      <formula>10000</formula>
      <formula>12499.99</formula>
    </cfRule>
  </conditionalFormatting>
  <conditionalFormatting sqref="J56">
    <cfRule type="expression" dxfId="50" priority="20" stopIfTrue="1">
      <formula>"SE($T$54&gt;10)"</formula>
    </cfRule>
  </conditionalFormatting>
  <conditionalFormatting sqref="K66">
    <cfRule type="cellIs" dxfId="49" priority="19" operator="equal">
      <formula>"SUPERATO IL MASSIMALE DI CONTRIBUTO"</formula>
    </cfRule>
  </conditionalFormatting>
  <conditionalFormatting sqref="I43 Q91:T91 R89 Q90">
    <cfRule type="cellIs" dxfId="48" priority="17" operator="equal">
      <formula>0</formula>
    </cfRule>
  </conditionalFormatting>
  <conditionalFormatting sqref="I45">
    <cfRule type="cellIs" dxfId="47" priority="16" operator="equal">
      <formula>0</formula>
    </cfRule>
  </conditionalFormatting>
  <conditionalFormatting sqref="I47">
    <cfRule type="cellIs" dxfId="46" priority="15" operator="equal">
      <formula>0</formula>
    </cfRule>
  </conditionalFormatting>
  <conditionalFormatting sqref="I49">
    <cfRule type="cellIs" dxfId="45" priority="14" operator="equal">
      <formula>0</formula>
    </cfRule>
  </conditionalFormatting>
  <conditionalFormatting sqref="I51">
    <cfRule type="cellIs" dxfId="44" priority="13" operator="equal">
      <formula>0</formula>
    </cfRule>
  </conditionalFormatting>
  <conditionalFormatting sqref="I55">
    <cfRule type="cellIs" dxfId="43" priority="12" operator="equal">
      <formula>0</formula>
    </cfRule>
  </conditionalFormatting>
  <conditionalFormatting sqref="I58">
    <cfRule type="cellIs" dxfId="42" priority="11" operator="equal">
      <formula>0</formula>
    </cfRule>
  </conditionalFormatting>
  <conditionalFormatting sqref="R89 U89:V91">
    <cfRule type="cellIs" dxfId="41" priority="10" operator="equal">
      <formula>"ATTENZIONE, NON E' CUMULABILE CON IL REQUISITO SUCCESSIVO"</formula>
    </cfRule>
  </conditionalFormatting>
  <conditionalFormatting sqref="F42:H59">
    <cfRule type="cellIs" dxfId="40" priority="8" operator="equal">
      <formula>0</formula>
    </cfRule>
  </conditionalFormatting>
  <conditionalFormatting sqref="D42:D59">
    <cfRule type="cellIs" dxfId="39" priority="7" operator="equal">
      <formula>0</formula>
    </cfRule>
  </conditionalFormatting>
  <conditionalFormatting sqref="D66">
    <cfRule type="cellIs" dxfId="38" priority="5" operator="equal">
      <formula>"ATTENZIONE, L'ACQUISTO DI TERRENO SUPERA IM MASSIMALE DA BANDO"</formula>
    </cfRule>
  </conditionalFormatting>
  <conditionalFormatting sqref="L42:L59">
    <cfRule type="cellIs" dxfId="37" priority="4" operator="equal">
      <formula>"SUPERO MASSIMALE SP TECN"</formula>
    </cfRule>
  </conditionalFormatting>
  <conditionalFormatting sqref="D66:J66">
    <cfRule type="cellIs" dxfId="36" priority="3" operator="equal">
      <formula>"ok"</formula>
    </cfRule>
  </conditionalFormatting>
  <conditionalFormatting sqref="P5">
    <cfRule type="expression" dxfId="35" priority="2">
      <formula>"se+$M$5&gt;$L$5"</formula>
    </cfRule>
  </conditionalFormatting>
  <conditionalFormatting sqref="R5:R34">
    <cfRule type="cellIs" dxfId="34" priority="1" operator="equal">
      <formula>"ERRORE, SUPERATO IL MAX"</formula>
    </cfRule>
  </conditionalFormatting>
  <dataValidations count="3">
    <dataValidation type="list" allowBlank="1" showInputMessage="1" showErrorMessage="1" sqref="K14:K15 K11:K12 K26:K27 K8:K9 K30:K31 K33 K17:K18 K5:K6">
      <formula1>"COMPUTO METRICO,PREVENTIVI INT STRUTTURALI"</formula1>
    </dataValidation>
    <dataValidation type="list" allowBlank="1" showInputMessage="1" showErrorMessage="1" sqref="F11:H11 F14:H14 F17:H17 F20:H20 F23:H23 F26:H26 F29:H30 F33:H33 F5:H5 I59 I42 I44 I46 I48 I50 I52:I54 I56:I57 D5 D33 D29:D30 D26 D23 D20 D17 D14 D11 D8 F8:H8">
      <formula1>"SI,"</formula1>
    </dataValidation>
    <dataValidation type="list" allowBlank="1" showInputMessage="1" showErrorMessage="1" sqref="M90 M92">
      <formula1>"SI,NO"</formula1>
    </dataValidation>
  </dataValidations>
  <printOptions horizontalCentered="1"/>
  <pageMargins left="0.31496062992125984" right="0.23622047244094491" top="0.86614173228346458" bottom="0.31496062992125984" header="0.31496062992125984" footer="0.31496062992125984"/>
  <pageSetup paperSize="9" scale="48" fitToHeight="2" orientation="portrait" blackAndWhite="1" r:id="rId1"/>
  <headerFooter>
    <oddHeader>&amp;C&amp;14Regione Liguria - Piano Aziendale di Sviluppo&amp;RPACCHETTO GIOVANI SOTTOMISURE 4.1 e 6.1</oddHeader>
    <oddFooter>&amp;C&amp;A&amp;Rpag 4</oddFooter>
  </headerFooter>
  <rowBreaks count="1" manualBreakCount="1">
    <brk id="39" max="16" man="1"/>
  </rowBreaks>
  <ignoredErrors>
    <ignoredError sqref="M42:M51 I43 N64 M5:M6 M7:M34 I45 I47 I49 I51 I55 I58" unlockedFormula="1"/>
    <ignoredError sqref="D46:H46 K45 K47 K55 K49" 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'comuni mis 6'!$E$2:$E$168</xm:f>
          </x14:formula1>
          <xm:sqref>B88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FF00"/>
    <pageSetUpPr fitToPage="1"/>
  </sheetPr>
  <dimension ref="A1:BG48"/>
  <sheetViews>
    <sheetView showGridLines="0" topLeftCell="J1" zoomScale="90" zoomScaleNormal="90" zoomScaleSheetLayoutView="50" zoomScalePageLayoutView="35" workbookViewId="0">
      <selection activeCell="BI30" sqref="BI30"/>
    </sheetView>
  </sheetViews>
  <sheetFormatPr defaultColWidth="3.88671875" defaultRowHeight="20.25" customHeight="1" x14ac:dyDescent="0.3"/>
  <cols>
    <col min="1" max="9" width="3.88671875" style="38" customWidth="1"/>
    <col min="10" max="10" width="14.33203125" style="38" customWidth="1"/>
    <col min="11" max="33" width="3.88671875" style="38" customWidth="1"/>
    <col min="34" max="34" width="8" style="38" customWidth="1"/>
    <col min="35" max="35" width="3.44140625" style="38" customWidth="1"/>
    <col min="36" max="40" width="3.88671875" style="38" customWidth="1"/>
    <col min="41" max="41" width="5.5546875" style="38" customWidth="1"/>
    <col min="42" max="43" width="3.88671875" style="38" customWidth="1"/>
    <col min="44" max="44" width="8.21875" style="38" customWidth="1"/>
    <col min="45" max="53" width="3.88671875" style="38"/>
    <col min="54" max="54" width="3.88671875" style="477"/>
    <col min="55" max="55" width="9" style="477" bestFit="1" customWidth="1"/>
    <col min="56" max="58" width="3.88671875" style="477"/>
    <col min="59" max="16384" width="3.88671875" style="38"/>
  </cols>
  <sheetData>
    <row r="1" spans="1:58" s="51" customFormat="1" ht="23.25" customHeight="1" x14ac:dyDescent="0.25">
      <c r="A1" s="765" t="s">
        <v>165</v>
      </c>
      <c r="B1" s="765"/>
      <c r="C1" s="765"/>
      <c r="D1" s="765"/>
      <c r="E1" s="765"/>
      <c r="F1" s="765"/>
      <c r="G1" s="765"/>
      <c r="H1" s="765"/>
      <c r="I1" s="765"/>
      <c r="J1" s="765"/>
      <c r="K1" s="765"/>
      <c r="L1" s="765"/>
      <c r="M1" s="765"/>
      <c r="N1" s="765"/>
      <c r="O1" s="765"/>
      <c r="P1" s="765"/>
      <c r="Q1" s="765"/>
      <c r="R1" s="765"/>
      <c r="S1" s="765"/>
      <c r="T1" s="765"/>
      <c r="U1" s="765"/>
      <c r="V1" s="765"/>
      <c r="W1" s="765"/>
      <c r="X1" s="765"/>
      <c r="Y1" s="765"/>
      <c r="Z1" s="765"/>
      <c r="AA1" s="765"/>
      <c r="AB1" s="765"/>
      <c r="AC1" s="765"/>
      <c r="AD1" s="765"/>
      <c r="AE1" s="765"/>
      <c r="AF1" s="765"/>
      <c r="AG1" s="765"/>
      <c r="AH1" s="765"/>
      <c r="AI1" s="765"/>
      <c r="AJ1" s="765"/>
      <c r="AK1" s="765"/>
      <c r="AL1" s="765"/>
      <c r="AM1" s="765"/>
      <c r="AN1" s="765"/>
      <c r="AO1" s="765"/>
      <c r="AP1" s="765"/>
      <c r="AQ1" s="765"/>
      <c r="AR1" s="765"/>
      <c r="AS1" s="765"/>
      <c r="AT1" s="50"/>
      <c r="BB1" s="473"/>
      <c r="BC1" s="473"/>
      <c r="BD1" s="473"/>
      <c r="BE1" s="473"/>
      <c r="BF1" s="473"/>
    </row>
    <row r="2" spans="1:58" s="51" customFormat="1" ht="23.25" customHeight="1" x14ac:dyDescent="0.25">
      <c r="A2" s="765"/>
      <c r="B2" s="765"/>
      <c r="C2" s="765"/>
      <c r="D2" s="765"/>
      <c r="E2" s="765"/>
      <c r="F2" s="765"/>
      <c r="G2" s="765"/>
      <c r="H2" s="765"/>
      <c r="I2" s="765"/>
      <c r="J2" s="765"/>
      <c r="K2" s="765"/>
      <c r="L2" s="765"/>
      <c r="M2" s="765"/>
      <c r="N2" s="765"/>
      <c r="O2" s="765"/>
      <c r="P2" s="765"/>
      <c r="Q2" s="765"/>
      <c r="R2" s="765"/>
      <c r="S2" s="765"/>
      <c r="T2" s="765"/>
      <c r="U2" s="765"/>
      <c r="V2" s="765"/>
      <c r="W2" s="765"/>
      <c r="X2" s="765"/>
      <c r="Y2" s="765"/>
      <c r="Z2" s="765"/>
      <c r="AA2" s="765"/>
      <c r="AB2" s="765"/>
      <c r="AC2" s="765"/>
      <c r="AD2" s="765"/>
      <c r="AE2" s="765"/>
      <c r="AF2" s="765"/>
      <c r="AG2" s="765"/>
      <c r="AH2" s="765"/>
      <c r="AI2" s="765"/>
      <c r="AJ2" s="765"/>
      <c r="AK2" s="765"/>
      <c r="AL2" s="765"/>
      <c r="AM2" s="765"/>
      <c r="AN2" s="765"/>
      <c r="AO2" s="765"/>
      <c r="AP2" s="765"/>
      <c r="AQ2" s="765"/>
      <c r="AR2" s="765"/>
      <c r="AS2" s="765"/>
      <c r="AT2" s="50"/>
      <c r="BB2" s="473"/>
      <c r="BC2" s="473"/>
      <c r="BD2" s="473"/>
      <c r="BE2" s="473"/>
      <c r="BF2" s="473"/>
    </row>
    <row r="3" spans="1:58" s="1" customFormat="1" ht="20.25" customHeight="1" x14ac:dyDescent="0.3">
      <c r="A3" s="38"/>
      <c r="B3" s="38"/>
      <c r="BB3" s="474"/>
      <c r="BC3" s="474"/>
      <c r="BD3" s="474"/>
      <c r="BE3" s="474"/>
      <c r="BF3" s="474"/>
    </row>
    <row r="4" spans="1:58" s="14" customFormat="1" ht="20.25" customHeight="1" x14ac:dyDescent="0.4">
      <c r="A4" s="761" t="s">
        <v>466</v>
      </c>
      <c r="B4" s="761"/>
      <c r="C4" s="761"/>
      <c r="D4" s="761"/>
      <c r="E4" s="761"/>
      <c r="F4" s="761"/>
      <c r="G4" s="761"/>
      <c r="H4" s="761"/>
      <c r="I4" s="761"/>
      <c r="J4" s="761"/>
      <c r="K4" s="761"/>
      <c r="L4" s="761"/>
      <c r="M4" s="761"/>
      <c r="N4" s="761"/>
      <c r="O4" s="761"/>
      <c r="P4" s="761"/>
      <c r="Q4" s="761"/>
      <c r="R4" s="761"/>
      <c r="S4" s="761"/>
      <c r="T4" s="761"/>
      <c r="U4" s="761"/>
      <c r="V4" s="761"/>
      <c r="W4" s="761"/>
      <c r="X4" s="761"/>
      <c r="Y4" s="761"/>
      <c r="Z4" s="761"/>
      <c r="AA4" s="761"/>
      <c r="AB4" s="761"/>
      <c r="AC4" s="761"/>
      <c r="AD4" s="761"/>
      <c r="AE4" s="761"/>
      <c r="AF4" s="761"/>
      <c r="AG4" s="761"/>
      <c r="AH4" s="761"/>
      <c r="AI4" s="761"/>
      <c r="AJ4" s="761"/>
      <c r="AK4" s="761"/>
      <c r="AL4" s="761"/>
      <c r="AM4" s="761"/>
      <c r="AN4" s="761"/>
      <c r="AO4" s="761"/>
      <c r="AP4" s="761"/>
      <c r="AQ4" s="761"/>
      <c r="AR4" s="761"/>
      <c r="AS4" s="30"/>
      <c r="BB4" s="475"/>
      <c r="BC4" s="475"/>
      <c r="BD4" s="475"/>
      <c r="BE4" s="475"/>
      <c r="BF4" s="475"/>
    </row>
    <row r="5" spans="1:58" s="14" customFormat="1" ht="20.25" customHeight="1" x14ac:dyDescent="0.4">
      <c r="A5" s="70"/>
      <c r="B5" s="72"/>
      <c r="C5" s="31"/>
      <c r="D5" s="31"/>
      <c r="E5" s="31"/>
      <c r="F5" s="31"/>
      <c r="G5" s="31"/>
      <c r="H5" s="31"/>
      <c r="I5" s="31"/>
      <c r="J5" s="31"/>
      <c r="K5" s="31"/>
      <c r="L5" s="31"/>
      <c r="M5" s="31"/>
      <c r="N5" s="31"/>
      <c r="O5" s="31"/>
      <c r="P5" s="31"/>
      <c r="Q5" s="31"/>
      <c r="R5" s="31"/>
      <c r="S5" s="31"/>
      <c r="T5" s="31"/>
      <c r="U5" s="31"/>
      <c r="BB5" s="475"/>
      <c r="BC5" s="475"/>
      <c r="BD5" s="475"/>
      <c r="BE5" s="475"/>
      <c r="BF5" s="475"/>
    </row>
    <row r="6" spans="1:58" s="14" customFormat="1" ht="20.25" customHeight="1" x14ac:dyDescent="0.4">
      <c r="A6" s="69"/>
      <c r="B6" s="73" t="s">
        <v>845</v>
      </c>
      <c r="F6" s="74"/>
      <c r="G6" s="74"/>
      <c r="H6" s="74"/>
      <c r="I6" s="74"/>
      <c r="J6" s="74"/>
      <c r="K6" s="74"/>
      <c r="L6" s="74"/>
      <c r="M6" s="74"/>
      <c r="N6" s="74"/>
      <c r="O6" s="74"/>
      <c r="P6" s="74"/>
      <c r="Q6" s="74"/>
      <c r="R6" s="74"/>
      <c r="S6" s="74"/>
      <c r="T6" s="74"/>
      <c r="U6" s="74"/>
      <c r="V6" s="74"/>
      <c r="W6" s="74"/>
      <c r="X6" s="74"/>
      <c r="Y6" s="74"/>
      <c r="Z6" s="74"/>
      <c r="AA6" s="74"/>
      <c r="AB6" s="74"/>
      <c r="AC6" s="74"/>
      <c r="AD6" s="74"/>
      <c r="BB6" s="475"/>
      <c r="BC6" s="475"/>
      <c r="BD6" s="475"/>
      <c r="BE6" s="475"/>
      <c r="BF6" s="475"/>
    </row>
    <row r="7" spans="1:58" s="58" customFormat="1" ht="20.25" customHeight="1" x14ac:dyDescent="0.3">
      <c r="A7" s="56"/>
      <c r="B7" s="57"/>
      <c r="F7" s="59"/>
      <c r="G7" s="59"/>
      <c r="H7" s="59"/>
      <c r="I7" s="59"/>
      <c r="J7" s="59"/>
      <c r="K7" s="59"/>
      <c r="L7" s="59"/>
      <c r="M7" s="59"/>
      <c r="N7" s="59"/>
      <c r="O7" s="59"/>
      <c r="P7" s="59"/>
      <c r="Q7" s="59"/>
      <c r="R7" s="59"/>
      <c r="S7" s="59"/>
      <c r="T7" s="59"/>
      <c r="U7" s="59"/>
      <c r="V7" s="59"/>
      <c r="W7" s="59"/>
      <c r="X7" s="59"/>
      <c r="Y7" s="59"/>
      <c r="Z7" s="59"/>
      <c r="AA7" s="59"/>
      <c r="AB7" s="59"/>
      <c r="AC7" s="59"/>
      <c r="AD7" s="59"/>
      <c r="BB7" s="476"/>
      <c r="BC7" s="476"/>
      <c r="BD7" s="476"/>
      <c r="BE7" s="476"/>
      <c r="BF7" s="476"/>
    </row>
    <row r="8" spans="1:58" s="14" customFormat="1" ht="52.95" customHeight="1" x14ac:dyDescent="0.4">
      <c r="A8" s="69"/>
      <c r="B8" s="766"/>
      <c r="C8" s="766"/>
      <c r="D8" s="754" t="s">
        <v>139</v>
      </c>
      <c r="E8" s="754"/>
      <c r="F8" s="754"/>
      <c r="G8" s="754"/>
      <c r="H8" s="754"/>
      <c r="I8" s="754"/>
      <c r="J8" s="754"/>
      <c r="K8" s="754"/>
      <c r="L8" s="754"/>
      <c r="M8" s="754"/>
      <c r="N8" s="754"/>
      <c r="O8" s="754"/>
      <c r="P8" s="754"/>
      <c r="Q8" s="754"/>
      <c r="R8" s="754"/>
      <c r="S8" s="754"/>
      <c r="T8" s="754" t="s">
        <v>465</v>
      </c>
      <c r="U8" s="754" t="s">
        <v>140</v>
      </c>
      <c r="V8" s="754" t="s">
        <v>140</v>
      </c>
      <c r="W8" s="754" t="s">
        <v>140</v>
      </c>
      <c r="X8" s="754" t="s">
        <v>140</v>
      </c>
      <c r="Y8" s="754" t="s">
        <v>140</v>
      </c>
      <c r="Z8" s="754" t="s">
        <v>140</v>
      </c>
      <c r="AA8" s="754" t="s">
        <v>140</v>
      </c>
      <c r="AB8" s="754" t="s">
        <v>140</v>
      </c>
      <c r="AC8" s="754" t="s">
        <v>140</v>
      </c>
      <c r="AD8" s="754" t="s">
        <v>140</v>
      </c>
      <c r="AE8" s="754" t="s">
        <v>140</v>
      </c>
      <c r="AF8" s="754" t="s">
        <v>140</v>
      </c>
      <c r="AG8" s="754" t="s">
        <v>140</v>
      </c>
      <c r="AH8" s="754" t="s">
        <v>141</v>
      </c>
      <c r="AI8" s="754"/>
      <c r="AJ8" s="767" t="s">
        <v>142</v>
      </c>
      <c r="AK8" s="767"/>
      <c r="AL8" s="767"/>
      <c r="AM8" s="767"/>
      <c r="AN8" s="767"/>
      <c r="AO8" s="767"/>
      <c r="AP8" s="767"/>
      <c r="AQ8" s="767"/>
      <c r="AR8" s="767"/>
      <c r="BB8" s="475"/>
      <c r="BC8" s="475"/>
      <c r="BD8" s="475"/>
      <c r="BE8" s="475"/>
      <c r="BF8" s="475"/>
    </row>
    <row r="9" spans="1:58" s="58" customFormat="1" ht="42" customHeight="1" x14ac:dyDescent="0.3">
      <c r="A9" s="56"/>
      <c r="B9" s="755" t="s">
        <v>148</v>
      </c>
      <c r="C9" s="755"/>
      <c r="D9" s="749" t="s">
        <v>319</v>
      </c>
      <c r="E9" s="749"/>
      <c r="F9" s="749"/>
      <c r="G9" s="749"/>
      <c r="H9" s="749"/>
      <c r="I9" s="749"/>
      <c r="J9" s="749"/>
      <c r="K9" s="749"/>
      <c r="L9" s="749"/>
      <c r="M9" s="749"/>
      <c r="N9" s="749"/>
      <c r="O9" s="749"/>
      <c r="P9" s="749"/>
      <c r="Q9" s="749"/>
      <c r="R9" s="749"/>
      <c r="S9" s="749"/>
      <c r="T9" s="756">
        <f>+'PAS PACCHETTO 4 invest'!Y7</f>
        <v>0</v>
      </c>
      <c r="U9" s="756"/>
      <c r="V9" s="756"/>
      <c r="W9" s="756"/>
      <c r="X9" s="756"/>
      <c r="Y9" s="756"/>
      <c r="Z9" s="756"/>
      <c r="AA9" s="756"/>
      <c r="AB9" s="756"/>
      <c r="AC9" s="756"/>
      <c r="AD9" s="756"/>
      <c r="AE9" s="756"/>
      <c r="AF9" s="756"/>
      <c r="AG9" s="756"/>
      <c r="AH9" s="760">
        <v>30</v>
      </c>
      <c r="AI9" s="760">
        <v>30</v>
      </c>
      <c r="AJ9" s="768">
        <f>T9/AH9</f>
        <v>0</v>
      </c>
      <c r="AK9" s="768"/>
      <c r="AL9" s="768"/>
      <c r="AM9" s="768"/>
      <c r="AN9" s="768"/>
      <c r="AO9" s="768"/>
      <c r="AP9" s="768"/>
      <c r="AQ9" s="768"/>
      <c r="AR9" s="768"/>
      <c r="BB9" s="476"/>
      <c r="BC9" s="476"/>
      <c r="BD9" s="476"/>
      <c r="BE9" s="476"/>
      <c r="BF9" s="476"/>
    </row>
    <row r="10" spans="1:58" s="58" customFormat="1" ht="42" customHeight="1" x14ac:dyDescent="0.3">
      <c r="A10" s="56"/>
      <c r="B10" s="755" t="s">
        <v>149</v>
      </c>
      <c r="C10" s="755"/>
      <c r="D10" s="749" t="s">
        <v>320</v>
      </c>
      <c r="E10" s="749"/>
      <c r="F10" s="749"/>
      <c r="G10" s="749"/>
      <c r="H10" s="749"/>
      <c r="I10" s="749"/>
      <c r="J10" s="749"/>
      <c r="K10" s="749"/>
      <c r="L10" s="749"/>
      <c r="M10" s="749"/>
      <c r="N10" s="749"/>
      <c r="O10" s="749"/>
      <c r="P10" s="749"/>
      <c r="Q10" s="749"/>
      <c r="R10" s="749"/>
      <c r="S10" s="749"/>
      <c r="T10" s="756">
        <f>+'PAS PACCHETTO 4 invest'!Y10</f>
        <v>0</v>
      </c>
      <c r="U10" s="756"/>
      <c r="V10" s="756"/>
      <c r="W10" s="756"/>
      <c r="X10" s="756"/>
      <c r="Y10" s="756"/>
      <c r="Z10" s="756"/>
      <c r="AA10" s="756"/>
      <c r="AB10" s="756"/>
      <c r="AC10" s="756"/>
      <c r="AD10" s="756"/>
      <c r="AE10" s="756"/>
      <c r="AF10" s="756"/>
      <c r="AG10" s="756"/>
      <c r="AH10" s="760">
        <v>10</v>
      </c>
      <c r="AI10" s="760">
        <v>10</v>
      </c>
      <c r="AJ10" s="768">
        <f>T10/AH10</f>
        <v>0</v>
      </c>
      <c r="AK10" s="768"/>
      <c r="AL10" s="768"/>
      <c r="AM10" s="768"/>
      <c r="AN10" s="768"/>
      <c r="AO10" s="768"/>
      <c r="AP10" s="768"/>
      <c r="AQ10" s="768"/>
      <c r="AR10" s="768"/>
      <c r="BB10" s="476"/>
      <c r="BC10" s="476"/>
      <c r="BD10" s="476"/>
      <c r="BE10" s="476"/>
      <c r="BF10" s="476"/>
    </row>
    <row r="11" spans="1:58" s="58" customFormat="1" ht="42" customHeight="1" x14ac:dyDescent="0.3">
      <c r="A11" s="56"/>
      <c r="B11" s="755" t="s">
        <v>150</v>
      </c>
      <c r="C11" s="755"/>
      <c r="D11" s="749"/>
      <c r="E11" s="749"/>
      <c r="F11" s="749"/>
      <c r="G11" s="749"/>
      <c r="H11" s="749"/>
      <c r="I11" s="749"/>
      <c r="J11" s="749"/>
      <c r="K11" s="749"/>
      <c r="L11" s="749"/>
      <c r="M11" s="749"/>
      <c r="N11" s="749"/>
      <c r="O11" s="749"/>
      <c r="P11" s="749"/>
      <c r="Q11" s="749"/>
      <c r="R11" s="749"/>
      <c r="S11" s="749"/>
      <c r="T11" s="772" t="s">
        <v>922</v>
      </c>
      <c r="U11" s="773"/>
      <c r="V11" s="773"/>
      <c r="W11" s="773"/>
      <c r="X11" s="773"/>
      <c r="Y11" s="773"/>
      <c r="Z11" s="773"/>
      <c r="AA11" s="773"/>
      <c r="AB11" s="773"/>
      <c r="AC11" s="773"/>
      <c r="AD11" s="773"/>
      <c r="AE11" s="773"/>
      <c r="AF11" s="773"/>
      <c r="AG11" s="773"/>
      <c r="AH11" s="773"/>
      <c r="AI11" s="773"/>
      <c r="AJ11" s="768">
        <f>AJ9+AJ10</f>
        <v>0</v>
      </c>
      <c r="AK11" s="768"/>
      <c r="AL11" s="768"/>
      <c r="AM11" s="768"/>
      <c r="AN11" s="768"/>
      <c r="AO11" s="768"/>
      <c r="AP11" s="768"/>
      <c r="AQ11" s="768"/>
      <c r="AR11" s="768"/>
      <c r="BB11" s="476"/>
      <c r="BC11" s="476"/>
      <c r="BD11" s="476"/>
      <c r="BE11" s="476"/>
      <c r="BF11" s="476"/>
    </row>
    <row r="12" spans="1:58" s="58" customFormat="1" ht="42" customHeight="1" x14ac:dyDescent="0.3">
      <c r="A12" s="56"/>
      <c r="B12" s="755" t="s">
        <v>151</v>
      </c>
      <c r="C12" s="755"/>
      <c r="D12" s="749" t="s">
        <v>868</v>
      </c>
      <c r="E12" s="749"/>
      <c r="F12" s="749"/>
      <c r="G12" s="749"/>
      <c r="H12" s="749"/>
      <c r="I12" s="749"/>
      <c r="J12" s="749"/>
      <c r="K12" s="749"/>
      <c r="L12" s="749"/>
      <c r="M12" s="749"/>
      <c r="N12" s="749"/>
      <c r="O12" s="749"/>
      <c r="P12" s="749"/>
      <c r="Q12" s="749"/>
      <c r="R12" s="749"/>
      <c r="S12" s="749"/>
      <c r="T12" s="754" t="s">
        <v>144</v>
      </c>
      <c r="U12" s="754"/>
      <c r="V12" s="754"/>
      <c r="W12" s="754"/>
      <c r="X12" s="754"/>
      <c r="Y12" s="754"/>
      <c r="Z12" s="754"/>
      <c r="AA12" s="754"/>
      <c r="AB12" s="754"/>
      <c r="AC12" s="754"/>
      <c r="AD12" s="754"/>
      <c r="AE12" s="754"/>
      <c r="AF12" s="754"/>
      <c r="AG12" s="754"/>
      <c r="AH12" s="754" t="s">
        <v>143</v>
      </c>
      <c r="AI12" s="754"/>
      <c r="AJ12" s="767" t="s">
        <v>142</v>
      </c>
      <c r="AK12" s="767"/>
      <c r="AL12" s="767"/>
      <c r="AM12" s="767"/>
      <c r="AN12" s="767"/>
      <c r="AO12" s="767"/>
      <c r="AP12" s="767"/>
      <c r="AQ12" s="767"/>
      <c r="AR12" s="767"/>
      <c r="BB12" s="476"/>
      <c r="BC12" s="476"/>
      <c r="BD12" s="476"/>
      <c r="BE12" s="476"/>
      <c r="BF12" s="476"/>
    </row>
    <row r="13" spans="1:58" s="58" customFormat="1" ht="42" customHeight="1" x14ac:dyDescent="0.3">
      <c r="A13" s="56"/>
      <c r="B13" s="755" t="s">
        <v>152</v>
      </c>
      <c r="C13" s="755"/>
      <c r="D13" s="749" t="s">
        <v>866</v>
      </c>
      <c r="E13" s="749"/>
      <c r="F13" s="749"/>
      <c r="G13" s="749"/>
      <c r="H13" s="749"/>
      <c r="I13" s="749"/>
      <c r="J13" s="749"/>
      <c r="K13" s="749"/>
      <c r="L13" s="749"/>
      <c r="M13" s="749"/>
      <c r="N13" s="749"/>
      <c r="O13" s="749"/>
      <c r="P13" s="749"/>
      <c r="Q13" s="749"/>
      <c r="R13" s="749"/>
      <c r="S13" s="749"/>
      <c r="T13" s="797"/>
      <c r="U13" s="797"/>
      <c r="V13" s="797"/>
      <c r="W13" s="797"/>
      <c r="X13" s="797"/>
      <c r="Y13" s="797"/>
      <c r="Z13" s="797"/>
      <c r="AA13" s="797"/>
      <c r="AB13" s="797"/>
      <c r="AC13" s="797"/>
      <c r="AD13" s="797"/>
      <c r="AE13" s="797"/>
      <c r="AF13" s="797"/>
      <c r="AG13" s="797"/>
      <c r="AH13" s="771"/>
      <c r="AI13" s="771"/>
      <c r="AJ13" s="769"/>
      <c r="AK13" s="769"/>
      <c r="AL13" s="769"/>
      <c r="AM13" s="769"/>
      <c r="AN13" s="769"/>
      <c r="AO13" s="769"/>
      <c r="AP13" s="769"/>
      <c r="AQ13" s="769"/>
      <c r="AR13" s="769"/>
      <c r="BB13" s="476"/>
      <c r="BC13" s="476"/>
      <c r="BD13" s="476"/>
      <c r="BE13" s="476"/>
      <c r="BF13" s="476"/>
    </row>
    <row r="14" spans="1:58" s="58" customFormat="1" ht="42" customHeight="1" x14ac:dyDescent="0.3">
      <c r="A14" s="56"/>
      <c r="B14" s="755" t="s">
        <v>153</v>
      </c>
      <c r="C14" s="755"/>
      <c r="D14" s="749"/>
      <c r="E14" s="749"/>
      <c r="F14" s="749"/>
      <c r="G14" s="749"/>
      <c r="H14" s="749"/>
      <c r="I14" s="749"/>
      <c r="J14" s="749"/>
      <c r="K14" s="749"/>
      <c r="L14" s="749"/>
      <c r="M14" s="749"/>
      <c r="N14" s="749"/>
      <c r="O14" s="749"/>
      <c r="P14" s="749"/>
      <c r="Q14" s="749"/>
      <c r="R14" s="749"/>
      <c r="S14" s="749"/>
      <c r="T14" s="797"/>
      <c r="U14" s="797"/>
      <c r="V14" s="797"/>
      <c r="W14" s="797"/>
      <c r="X14" s="797"/>
      <c r="Y14" s="797"/>
      <c r="Z14" s="797"/>
      <c r="AA14" s="797"/>
      <c r="AB14" s="797"/>
      <c r="AC14" s="797"/>
      <c r="AD14" s="797"/>
      <c r="AE14" s="797"/>
      <c r="AF14" s="797"/>
      <c r="AG14" s="797"/>
      <c r="AH14" s="771"/>
      <c r="AI14" s="771"/>
      <c r="AJ14" s="769"/>
      <c r="AK14" s="769"/>
      <c r="AL14" s="769"/>
      <c r="AM14" s="769"/>
      <c r="AN14" s="769"/>
      <c r="AO14" s="769"/>
      <c r="AP14" s="769"/>
      <c r="AQ14" s="769"/>
      <c r="AR14" s="769"/>
      <c r="BB14" s="476"/>
      <c r="BC14" s="476"/>
      <c r="BD14" s="476"/>
      <c r="BE14" s="476"/>
      <c r="BF14" s="476"/>
    </row>
    <row r="15" spans="1:58" s="58" customFormat="1" ht="42" customHeight="1" x14ac:dyDescent="0.3">
      <c r="A15" s="56"/>
      <c r="B15" s="755" t="s">
        <v>154</v>
      </c>
      <c r="C15" s="755"/>
      <c r="D15" s="798" t="s">
        <v>145</v>
      </c>
      <c r="E15" s="798"/>
      <c r="F15" s="798"/>
      <c r="G15" s="798"/>
      <c r="H15" s="798"/>
      <c r="I15" s="798"/>
      <c r="J15" s="798"/>
      <c r="K15" s="798"/>
      <c r="L15" s="798"/>
      <c r="M15" s="798"/>
      <c r="N15" s="798"/>
      <c r="O15" s="798"/>
      <c r="P15" s="798"/>
      <c r="Q15" s="798"/>
      <c r="R15" s="798"/>
      <c r="S15" s="798"/>
      <c r="T15" s="798"/>
      <c r="U15" s="798"/>
      <c r="V15" s="798"/>
      <c r="W15" s="798"/>
      <c r="X15" s="798"/>
      <c r="Y15" s="798"/>
      <c r="Z15" s="798"/>
      <c r="AA15" s="798"/>
      <c r="AB15" s="798"/>
      <c r="AC15" s="798"/>
      <c r="AD15" s="798"/>
      <c r="AE15" s="798"/>
      <c r="AF15" s="798"/>
      <c r="AG15" s="798"/>
      <c r="AH15" s="798"/>
      <c r="AI15" s="798"/>
      <c r="AJ15" s="770">
        <f>AJ11+AJ13+AM14</f>
        <v>0</v>
      </c>
      <c r="AK15" s="770"/>
      <c r="AL15" s="770"/>
      <c r="AM15" s="770"/>
      <c r="AN15" s="770"/>
      <c r="AO15" s="770"/>
      <c r="AP15" s="770"/>
      <c r="AQ15" s="770"/>
      <c r="AR15" s="770"/>
      <c r="BB15" s="476"/>
      <c r="BC15" s="476"/>
      <c r="BD15" s="476"/>
      <c r="BE15" s="476"/>
      <c r="BF15" s="476"/>
    </row>
    <row r="16" spans="1:58" s="58" customFormat="1" ht="43.2" customHeight="1" x14ac:dyDescent="0.3">
      <c r="A16" s="56"/>
      <c r="B16" s="57"/>
      <c r="D16" s="11"/>
      <c r="E16" s="1"/>
      <c r="F16" s="1"/>
      <c r="G16" s="1"/>
      <c r="H16" s="1"/>
      <c r="I16" s="1"/>
      <c r="J16" s="243"/>
      <c r="K16" s="243"/>
      <c r="L16" s="243"/>
      <c r="M16" s="1"/>
      <c r="N16" s="1"/>
      <c r="O16" s="1"/>
      <c r="P16" s="1"/>
      <c r="Q16" s="1"/>
      <c r="R16" s="1"/>
      <c r="S16" s="1"/>
      <c r="T16" s="1"/>
      <c r="U16" s="1"/>
      <c r="V16" s="1"/>
      <c r="W16" s="1"/>
      <c r="X16" s="1"/>
      <c r="Y16" s="1"/>
      <c r="Z16" s="1"/>
      <c r="AA16" s="1"/>
      <c r="AB16" s="1"/>
      <c r="AC16" s="1"/>
      <c r="AD16" s="1"/>
      <c r="AE16" s="762"/>
      <c r="AF16" s="762"/>
      <c r="AG16" s="762"/>
      <c r="AH16" s="762"/>
      <c r="AI16" s="243"/>
      <c r="AJ16" s="243"/>
      <c r="AK16" s="1"/>
      <c r="AL16" s="1"/>
      <c r="AM16" s="1"/>
      <c r="AN16" s="1"/>
      <c r="AO16" s="1"/>
      <c r="AP16" s="1"/>
      <c r="AQ16" s="1"/>
      <c r="AR16" s="1"/>
      <c r="BB16" s="476"/>
      <c r="BC16" s="476"/>
      <c r="BD16" s="476"/>
      <c r="BE16" s="476"/>
      <c r="BF16" s="476"/>
    </row>
    <row r="17" spans="1:58" s="58" customFormat="1" ht="53.4" customHeight="1" x14ac:dyDescent="0.3">
      <c r="A17" s="56"/>
      <c r="B17" s="766"/>
      <c r="C17" s="766"/>
      <c r="D17" s="794" t="s">
        <v>189</v>
      </c>
      <c r="E17" s="795"/>
      <c r="F17" s="795"/>
      <c r="G17" s="795"/>
      <c r="H17" s="795"/>
      <c r="I17" s="795"/>
      <c r="J17" s="795"/>
      <c r="K17" s="795"/>
      <c r="L17" s="795"/>
      <c r="M17" s="795"/>
      <c r="N17" s="795"/>
      <c r="O17" s="795"/>
      <c r="P17" s="795"/>
      <c r="Q17" s="795"/>
      <c r="R17" s="795"/>
      <c r="S17" s="795"/>
      <c r="T17" s="795"/>
      <c r="U17" s="795"/>
      <c r="V17" s="795"/>
      <c r="W17" s="795"/>
      <c r="X17" s="795"/>
      <c r="Y17" s="795"/>
      <c r="Z17" s="795"/>
      <c r="AA17" s="795"/>
      <c r="AB17" s="795"/>
      <c r="AC17" s="795"/>
      <c r="AD17" s="795"/>
      <c r="AE17" s="795"/>
      <c r="AF17" s="795"/>
      <c r="AG17" s="795"/>
      <c r="AH17" s="795"/>
      <c r="AI17" s="796"/>
      <c r="AJ17" s="767" t="s">
        <v>166</v>
      </c>
      <c r="AK17" s="767"/>
      <c r="AL17" s="767"/>
      <c r="AM17" s="767"/>
      <c r="AN17" s="767"/>
      <c r="AO17" s="767"/>
      <c r="AP17" s="767"/>
      <c r="AQ17" s="767"/>
      <c r="AR17" s="767"/>
      <c r="BB17" s="476"/>
      <c r="BC17" s="476"/>
      <c r="BD17" s="476"/>
      <c r="BE17" s="476"/>
      <c r="BF17" s="476"/>
    </row>
    <row r="18" spans="1:58" s="58" customFormat="1" ht="40.950000000000003" customHeight="1" x14ac:dyDescent="0.3">
      <c r="A18" s="56"/>
      <c r="B18" s="755" t="s">
        <v>167</v>
      </c>
      <c r="C18" s="755"/>
      <c r="D18" s="777" t="s">
        <v>147</v>
      </c>
      <c r="E18" s="778"/>
      <c r="F18" s="778"/>
      <c r="G18" s="778"/>
      <c r="H18" s="778"/>
      <c r="I18" s="778"/>
      <c r="J18" s="778"/>
      <c r="K18" s="778"/>
      <c r="L18" s="778"/>
      <c r="M18" s="778"/>
      <c r="N18" s="778"/>
      <c r="O18" s="778"/>
      <c r="P18" s="778"/>
      <c r="Q18" s="778"/>
      <c r="R18" s="778"/>
      <c r="S18" s="778"/>
      <c r="T18" s="778"/>
      <c r="U18" s="778"/>
      <c r="V18" s="778"/>
      <c r="W18" s="778"/>
      <c r="X18" s="778"/>
      <c r="Y18" s="778"/>
      <c r="Z18" s="778"/>
      <c r="AA18" s="778"/>
      <c r="AB18" s="778"/>
      <c r="AC18" s="778"/>
      <c r="AD18" s="778"/>
      <c r="AE18" s="778"/>
      <c r="AF18" s="778"/>
      <c r="AG18" s="778"/>
      <c r="AH18" s="778"/>
      <c r="AI18" s="779"/>
      <c r="AJ18" s="774">
        <f>+'PAS 2 calc prod stand'!I56</f>
        <v>0</v>
      </c>
      <c r="AK18" s="799"/>
      <c r="AL18" s="799"/>
      <c r="AM18" s="799"/>
      <c r="AN18" s="799"/>
      <c r="AO18" s="799"/>
      <c r="AP18" s="799"/>
      <c r="AQ18" s="799"/>
      <c r="AR18" s="799"/>
      <c r="BB18" s="476"/>
      <c r="BC18" s="476"/>
      <c r="BD18" s="476"/>
      <c r="BE18" s="476"/>
      <c r="BF18" s="476"/>
    </row>
    <row r="19" spans="1:58" s="58" customFormat="1" ht="42" customHeight="1" x14ac:dyDescent="0.3">
      <c r="A19" s="56"/>
      <c r="B19" s="755" t="s">
        <v>168</v>
      </c>
      <c r="C19" s="755"/>
      <c r="D19" s="777" t="s">
        <v>272</v>
      </c>
      <c r="E19" s="778"/>
      <c r="F19" s="778"/>
      <c r="G19" s="778"/>
      <c r="H19" s="778"/>
      <c r="I19" s="778"/>
      <c r="J19" s="778"/>
      <c r="K19" s="778"/>
      <c r="L19" s="778"/>
      <c r="M19" s="778"/>
      <c r="N19" s="778"/>
      <c r="O19" s="778"/>
      <c r="P19" s="778"/>
      <c r="Q19" s="778"/>
      <c r="R19" s="778"/>
      <c r="S19" s="778"/>
      <c r="T19" s="778"/>
      <c r="U19" s="778"/>
      <c r="V19" s="778"/>
      <c r="W19" s="778"/>
      <c r="X19" s="778"/>
      <c r="Y19" s="778"/>
      <c r="Z19" s="778"/>
      <c r="AA19" s="778"/>
      <c r="AB19" s="778"/>
      <c r="AC19" s="778"/>
      <c r="AD19" s="778"/>
      <c r="AE19" s="778"/>
      <c r="AF19" s="778"/>
      <c r="AG19" s="778"/>
      <c r="AH19" s="778"/>
      <c r="AI19" s="779"/>
      <c r="AJ19" s="776"/>
      <c r="AK19" s="776"/>
      <c r="AL19" s="776"/>
      <c r="AM19" s="776"/>
      <c r="AN19" s="776"/>
      <c r="AO19" s="776"/>
      <c r="AP19" s="776"/>
      <c r="AQ19" s="776"/>
      <c r="AR19" s="776"/>
      <c r="BB19" s="476"/>
      <c r="BC19" s="476"/>
      <c r="BD19" s="476"/>
      <c r="BE19" s="476"/>
      <c r="BF19" s="476"/>
    </row>
    <row r="20" spans="1:58" s="58" customFormat="1" ht="42" customHeight="1" x14ac:dyDescent="0.3">
      <c r="A20" s="56"/>
      <c r="B20" s="755" t="s">
        <v>169</v>
      </c>
      <c r="C20" s="755"/>
      <c r="D20" s="757" t="s">
        <v>273</v>
      </c>
      <c r="E20" s="758"/>
      <c r="F20" s="758"/>
      <c r="G20" s="758"/>
      <c r="H20" s="758"/>
      <c r="I20" s="758"/>
      <c r="J20" s="758"/>
      <c r="K20" s="758"/>
      <c r="L20" s="758"/>
      <c r="M20" s="758"/>
      <c r="N20" s="758"/>
      <c r="O20" s="758"/>
      <c r="P20" s="758"/>
      <c r="Q20" s="758"/>
      <c r="R20" s="758"/>
      <c r="S20" s="758"/>
      <c r="T20" s="758"/>
      <c r="U20" s="758"/>
      <c r="V20" s="758"/>
      <c r="W20" s="758"/>
      <c r="X20" s="758"/>
      <c r="Y20" s="758"/>
      <c r="Z20" s="758"/>
      <c r="AA20" s="758"/>
      <c r="AB20" s="758"/>
      <c r="AC20" s="758"/>
      <c r="AD20" s="758"/>
      <c r="AE20" s="758"/>
      <c r="AF20" s="758"/>
      <c r="AG20" s="758"/>
      <c r="AH20" s="758"/>
      <c r="AI20" s="759"/>
      <c r="AJ20" s="769"/>
      <c r="AK20" s="769"/>
      <c r="AL20" s="769"/>
      <c r="AM20" s="769"/>
      <c r="AN20" s="769"/>
      <c r="AO20" s="769"/>
      <c r="AP20" s="769"/>
      <c r="AQ20" s="769"/>
      <c r="AR20" s="769"/>
      <c r="BB20" s="476"/>
      <c r="BC20" s="476"/>
      <c r="BD20" s="476"/>
      <c r="BE20" s="476"/>
      <c r="BF20" s="476"/>
    </row>
    <row r="21" spans="1:58" s="58" customFormat="1" ht="42" customHeight="1" x14ac:dyDescent="0.3">
      <c r="A21" s="56"/>
      <c r="B21" s="755" t="s">
        <v>170</v>
      </c>
      <c r="C21" s="755"/>
      <c r="D21" s="757" t="s">
        <v>273</v>
      </c>
      <c r="E21" s="758"/>
      <c r="F21" s="758"/>
      <c r="G21" s="758"/>
      <c r="H21" s="758"/>
      <c r="I21" s="758"/>
      <c r="J21" s="758"/>
      <c r="K21" s="758"/>
      <c r="L21" s="758"/>
      <c r="M21" s="758"/>
      <c r="N21" s="758"/>
      <c r="O21" s="758"/>
      <c r="P21" s="758"/>
      <c r="Q21" s="758"/>
      <c r="R21" s="758"/>
      <c r="S21" s="758"/>
      <c r="T21" s="758"/>
      <c r="U21" s="758"/>
      <c r="V21" s="758"/>
      <c r="W21" s="758"/>
      <c r="X21" s="758"/>
      <c r="Y21" s="758"/>
      <c r="Z21" s="758"/>
      <c r="AA21" s="758"/>
      <c r="AB21" s="758"/>
      <c r="AC21" s="758"/>
      <c r="AD21" s="758"/>
      <c r="AE21" s="758"/>
      <c r="AF21" s="758"/>
      <c r="AG21" s="758"/>
      <c r="AH21" s="758"/>
      <c r="AI21" s="759"/>
      <c r="AJ21" s="769"/>
      <c r="AK21" s="769"/>
      <c r="AL21" s="769"/>
      <c r="AM21" s="769"/>
      <c r="AN21" s="769"/>
      <c r="AO21" s="769"/>
      <c r="AP21" s="769"/>
      <c r="AQ21" s="769"/>
      <c r="AR21" s="769"/>
      <c r="BB21" s="476"/>
      <c r="BC21" s="476"/>
      <c r="BD21" s="476"/>
      <c r="BE21" s="476"/>
      <c r="BF21" s="476"/>
    </row>
    <row r="22" spans="1:58" s="58" customFormat="1" ht="42" customHeight="1" x14ac:dyDescent="0.3">
      <c r="A22" s="56"/>
      <c r="B22" s="755" t="s">
        <v>171</v>
      </c>
      <c r="C22" s="755"/>
      <c r="D22" s="757" t="s">
        <v>273</v>
      </c>
      <c r="E22" s="758"/>
      <c r="F22" s="758"/>
      <c r="G22" s="758"/>
      <c r="H22" s="758"/>
      <c r="I22" s="758"/>
      <c r="J22" s="758"/>
      <c r="K22" s="758"/>
      <c r="L22" s="758"/>
      <c r="M22" s="758"/>
      <c r="N22" s="758"/>
      <c r="O22" s="758"/>
      <c r="P22" s="758"/>
      <c r="Q22" s="758"/>
      <c r="R22" s="758"/>
      <c r="S22" s="758"/>
      <c r="T22" s="758"/>
      <c r="U22" s="758"/>
      <c r="V22" s="758"/>
      <c r="W22" s="758"/>
      <c r="X22" s="758"/>
      <c r="Y22" s="758"/>
      <c r="Z22" s="758"/>
      <c r="AA22" s="758"/>
      <c r="AB22" s="758"/>
      <c r="AC22" s="758"/>
      <c r="AD22" s="758"/>
      <c r="AE22" s="758"/>
      <c r="AF22" s="758"/>
      <c r="AG22" s="758"/>
      <c r="AH22" s="758"/>
      <c r="AI22" s="759"/>
      <c r="AJ22" s="769"/>
      <c r="AK22" s="769"/>
      <c r="AL22" s="769"/>
      <c r="AM22" s="769"/>
      <c r="AN22" s="769"/>
      <c r="AO22" s="769"/>
      <c r="AP22" s="769"/>
      <c r="AQ22" s="769"/>
      <c r="AR22" s="769"/>
      <c r="BB22" s="476"/>
      <c r="BC22" s="476"/>
      <c r="BD22" s="476"/>
      <c r="BE22" s="476"/>
      <c r="BF22" s="476"/>
    </row>
    <row r="23" spans="1:58" s="58" customFormat="1" ht="42" customHeight="1" x14ac:dyDescent="0.3">
      <c r="A23" s="56"/>
      <c r="B23" s="755" t="s">
        <v>172</v>
      </c>
      <c r="C23" s="755"/>
      <c r="D23" s="798" t="s">
        <v>174</v>
      </c>
      <c r="E23" s="798"/>
      <c r="F23" s="798"/>
      <c r="G23" s="798"/>
      <c r="H23" s="798"/>
      <c r="I23" s="798"/>
      <c r="J23" s="798"/>
      <c r="K23" s="798"/>
      <c r="L23" s="798"/>
      <c r="M23" s="798"/>
      <c r="N23" s="798"/>
      <c r="O23" s="798"/>
      <c r="P23" s="798"/>
      <c r="Q23" s="798"/>
      <c r="R23" s="798"/>
      <c r="S23" s="798"/>
      <c r="T23" s="798"/>
      <c r="U23" s="798"/>
      <c r="V23" s="798"/>
      <c r="W23" s="798"/>
      <c r="X23" s="798"/>
      <c r="Y23" s="798"/>
      <c r="Z23" s="798"/>
      <c r="AA23" s="798"/>
      <c r="AB23" s="798"/>
      <c r="AC23" s="798"/>
      <c r="AD23" s="798"/>
      <c r="AE23" s="798"/>
      <c r="AF23" s="798"/>
      <c r="AG23" s="798"/>
      <c r="AH23" s="798"/>
      <c r="AI23" s="798"/>
      <c r="AJ23" s="770">
        <f>AJ18+AJ20+AJ21+AJ22+AJ19</f>
        <v>0</v>
      </c>
      <c r="AK23" s="770"/>
      <c r="AL23" s="770"/>
      <c r="AM23" s="770"/>
      <c r="AN23" s="770"/>
      <c r="AO23" s="770"/>
      <c r="AP23" s="770"/>
      <c r="AQ23" s="770"/>
      <c r="AR23" s="770"/>
      <c r="BB23" s="476"/>
      <c r="BC23" s="476"/>
      <c r="BD23" s="476"/>
      <c r="BE23" s="476"/>
      <c r="BF23" s="476"/>
    </row>
    <row r="24" spans="1:58" s="58" customFormat="1" ht="43.2" customHeight="1" x14ac:dyDescent="0.3">
      <c r="A24" s="56"/>
      <c r="B24" s="57"/>
      <c r="D24" s="11"/>
      <c r="E24" s="1"/>
      <c r="F24" s="1"/>
      <c r="G24" s="1"/>
      <c r="H24" s="1"/>
      <c r="I24" s="1"/>
      <c r="J24" s="243"/>
      <c r="K24" s="243"/>
      <c r="L24" s="243"/>
      <c r="M24" s="1"/>
      <c r="N24" s="1"/>
      <c r="O24" s="1"/>
      <c r="P24" s="1"/>
      <c r="Q24" s="1"/>
      <c r="R24" s="1"/>
      <c r="S24" s="1"/>
      <c r="T24" s="1"/>
      <c r="U24" s="1"/>
      <c r="V24" s="1"/>
      <c r="W24" s="1"/>
      <c r="X24" s="1"/>
      <c r="Y24" s="1"/>
      <c r="Z24" s="1"/>
      <c r="AA24" s="1"/>
      <c r="AB24" s="1"/>
      <c r="AC24" s="1"/>
      <c r="AD24" s="1"/>
      <c r="AE24" s="762"/>
      <c r="AF24" s="762"/>
      <c r="AG24" s="762"/>
      <c r="AH24" s="762"/>
      <c r="AI24" s="243"/>
      <c r="AJ24" s="243"/>
      <c r="AK24" s="1"/>
      <c r="AL24" s="1"/>
      <c r="AM24" s="1"/>
      <c r="AN24" s="1"/>
      <c r="AO24" s="1"/>
      <c r="AP24" s="1"/>
      <c r="AQ24" s="1"/>
      <c r="AR24" s="1"/>
      <c r="BB24" s="476"/>
      <c r="BC24" s="476"/>
      <c r="BD24" s="476"/>
      <c r="BE24" s="476"/>
      <c r="BF24" s="476"/>
    </row>
    <row r="25" spans="1:58" s="58" customFormat="1" ht="42" customHeight="1" x14ac:dyDescent="0.3">
      <c r="A25" s="56"/>
      <c r="B25" s="755" t="s">
        <v>175</v>
      </c>
      <c r="C25" s="755"/>
      <c r="D25" s="754" t="s">
        <v>146</v>
      </c>
      <c r="E25" s="754"/>
      <c r="F25" s="754"/>
      <c r="G25" s="754"/>
      <c r="H25" s="754"/>
      <c r="I25" s="754"/>
      <c r="J25" s="754"/>
      <c r="K25" s="754"/>
      <c r="L25" s="754"/>
      <c r="M25" s="754"/>
      <c r="N25" s="754"/>
      <c r="O25" s="754"/>
      <c r="P25" s="754"/>
      <c r="Q25" s="754"/>
      <c r="R25" s="754"/>
      <c r="S25" s="754"/>
      <c r="T25" s="754"/>
      <c r="U25" s="754"/>
      <c r="V25" s="754"/>
      <c r="W25" s="754"/>
      <c r="X25" s="754"/>
      <c r="Y25" s="754"/>
      <c r="Z25" s="754"/>
      <c r="AA25" s="754"/>
      <c r="AB25" s="754"/>
      <c r="AC25" s="754"/>
      <c r="AD25" s="754"/>
      <c r="AE25" s="774">
        <f>0.4*AJ23</f>
        <v>0</v>
      </c>
      <c r="AF25" s="775"/>
      <c r="AG25" s="775"/>
      <c r="AH25" s="775"/>
      <c r="AI25" s="775"/>
      <c r="AJ25" s="775"/>
      <c r="AK25" s="775"/>
      <c r="AL25" s="775"/>
      <c r="AM25" s="775"/>
      <c r="AN25" s="775"/>
      <c r="AO25" s="775"/>
      <c r="AP25" s="775"/>
      <c r="AQ25" s="775"/>
      <c r="AR25" s="775"/>
      <c r="BB25" s="476"/>
      <c r="BC25" s="476"/>
      <c r="BD25" s="476"/>
      <c r="BE25" s="476"/>
      <c r="BF25" s="476"/>
    </row>
    <row r="26" spans="1:58" s="58" customFormat="1" ht="42" customHeight="1" x14ac:dyDescent="0.3">
      <c r="A26" s="56"/>
      <c r="B26" s="755" t="s">
        <v>176</v>
      </c>
      <c r="C26" s="755"/>
      <c r="D26" s="788" t="s">
        <v>173</v>
      </c>
      <c r="E26" s="788"/>
      <c r="F26" s="788"/>
      <c r="G26" s="788"/>
      <c r="H26" s="788"/>
      <c r="I26" s="788"/>
      <c r="J26" s="788"/>
      <c r="K26" s="788"/>
      <c r="L26" s="788"/>
      <c r="M26" s="788"/>
      <c r="N26" s="788"/>
      <c r="O26" s="788"/>
      <c r="P26" s="788"/>
      <c r="Q26" s="788"/>
      <c r="R26" s="788"/>
      <c r="S26" s="788"/>
      <c r="T26" s="788"/>
      <c r="U26" s="788"/>
      <c r="V26" s="788"/>
      <c r="W26" s="788"/>
      <c r="X26" s="788"/>
      <c r="Y26" s="788"/>
      <c r="Z26" s="788"/>
      <c r="AA26" s="788"/>
      <c r="AB26" s="788"/>
      <c r="AC26" s="788"/>
      <c r="AD26" s="788"/>
      <c r="AE26" s="698" t="str">
        <f>IF(AE25=0,"NO",IF(AJ15&gt;AE25,"NO","OK"))</f>
        <v>NO</v>
      </c>
      <c r="AF26" s="698"/>
      <c r="AG26" s="698"/>
      <c r="AH26" s="698"/>
      <c r="AI26" s="698"/>
      <c r="AJ26" s="698"/>
      <c r="AK26" s="698"/>
      <c r="AL26" s="698"/>
      <c r="AM26" s="698"/>
      <c r="AN26" s="698"/>
      <c r="AO26" s="698"/>
      <c r="AP26" s="698"/>
      <c r="AQ26" s="698"/>
      <c r="AR26" s="698"/>
      <c r="BB26" s="476"/>
      <c r="BC26" s="476"/>
      <c r="BD26" s="476"/>
      <c r="BE26" s="476"/>
      <c r="BF26" s="476"/>
    </row>
    <row r="27" spans="1:58" s="58" customFormat="1" ht="42" customHeight="1" x14ac:dyDescent="0.3">
      <c r="A27" s="56"/>
      <c r="B27" s="755" t="s">
        <v>177</v>
      </c>
      <c r="C27" s="755"/>
      <c r="D27" s="763" t="str">
        <f>IF(AE26="OK","L'INVESTIMENTO HA SOSTENIBILITA' FINANZIARIA ED ECONOMICA","L'INVESTIMENTO NON HA SOSTENIBILITA' FINANZIARIA ED ECONOMICA")</f>
        <v>L'INVESTIMENTO NON HA SOSTENIBILITA' FINANZIARIA ED ECONOMICA</v>
      </c>
      <c r="E27" s="764"/>
      <c r="F27" s="764"/>
      <c r="G27" s="764"/>
      <c r="H27" s="764"/>
      <c r="I27" s="764"/>
      <c r="J27" s="764"/>
      <c r="K27" s="764"/>
      <c r="L27" s="764"/>
      <c r="M27" s="764"/>
      <c r="N27" s="764"/>
      <c r="O27" s="764"/>
      <c r="P27" s="764"/>
      <c r="Q27" s="764"/>
      <c r="R27" s="764"/>
      <c r="S27" s="764"/>
      <c r="T27" s="764"/>
      <c r="U27" s="764"/>
      <c r="V27" s="764"/>
      <c r="W27" s="764"/>
      <c r="X27" s="764"/>
      <c r="Y27" s="764"/>
      <c r="Z27" s="764"/>
      <c r="AA27" s="764"/>
      <c r="AB27" s="764"/>
      <c r="AC27" s="764"/>
      <c r="AD27" s="764"/>
      <c r="AE27" s="764"/>
      <c r="AF27" s="764"/>
      <c r="AG27" s="764"/>
      <c r="AH27" s="764"/>
      <c r="AI27" s="764"/>
      <c r="AJ27" s="764"/>
      <c r="AK27" s="764"/>
      <c r="AL27" s="764"/>
      <c r="AM27" s="764"/>
      <c r="AN27" s="764"/>
      <c r="AO27" s="764"/>
      <c r="AP27" s="764"/>
      <c r="AQ27" s="764"/>
      <c r="AR27" s="764"/>
      <c r="BB27" s="476"/>
      <c r="BC27" s="476"/>
      <c r="BD27" s="476"/>
      <c r="BE27" s="476"/>
      <c r="BF27" s="476"/>
    </row>
    <row r="28" spans="1:58" s="58" customFormat="1" ht="20.25" customHeight="1" x14ac:dyDescent="0.3">
      <c r="A28" s="56"/>
      <c r="B28" s="57"/>
      <c r="D28" s="11"/>
      <c r="E28" s="1"/>
      <c r="F28" s="1"/>
      <c r="G28" s="1"/>
      <c r="H28" s="1"/>
      <c r="I28" s="1"/>
      <c r="J28" s="243"/>
      <c r="K28" s="243"/>
      <c r="L28" s="243"/>
      <c r="M28" s="243"/>
      <c r="N28" s="243"/>
      <c r="O28" s="243"/>
      <c r="P28" s="243"/>
      <c r="Q28" s="243"/>
      <c r="R28" s="243"/>
      <c r="S28" s="243"/>
      <c r="T28" s="243"/>
      <c r="U28" s="243"/>
      <c r="V28" s="243"/>
      <c r="W28" s="243"/>
      <c r="X28" s="243"/>
      <c r="Y28" s="243"/>
      <c r="Z28" s="243"/>
      <c r="AA28" s="243"/>
      <c r="AB28" s="243"/>
      <c r="AC28" s="243"/>
      <c r="AD28" s="243"/>
      <c r="AE28" s="117"/>
      <c r="AF28" s="117"/>
      <c r="AG28" s="117"/>
      <c r="AH28" s="117"/>
      <c r="AI28" s="243"/>
      <c r="AJ28" s="243"/>
      <c r="AK28" s="1"/>
      <c r="AL28" s="1"/>
      <c r="AM28" s="1"/>
      <c r="AN28" s="1"/>
      <c r="AO28" s="1"/>
      <c r="AP28" s="1"/>
      <c r="AQ28" s="1"/>
      <c r="AR28" s="1"/>
      <c r="BB28" s="476"/>
      <c r="BC28" s="476"/>
      <c r="BD28" s="476"/>
      <c r="BE28" s="476"/>
      <c r="BF28" s="476"/>
    </row>
    <row r="29" spans="1:58" s="58" customFormat="1" ht="24.6" x14ac:dyDescent="0.3">
      <c r="A29" s="56" t="s">
        <v>268</v>
      </c>
      <c r="B29" s="6"/>
      <c r="C29" s="1"/>
      <c r="D29" s="793" t="s">
        <v>462</v>
      </c>
      <c r="E29" s="793"/>
      <c r="F29" s="793"/>
      <c r="G29" s="793"/>
      <c r="H29" s="793"/>
      <c r="I29" s="793"/>
      <c r="J29" s="793"/>
      <c r="K29" s="793"/>
      <c r="L29" s="793"/>
      <c r="M29" s="793"/>
      <c r="N29" s="793"/>
      <c r="O29" s="793"/>
      <c r="P29" s="793"/>
      <c r="Q29" s="793"/>
      <c r="R29" s="793"/>
      <c r="S29" s="793"/>
      <c r="T29" s="793"/>
      <c r="U29" s="793"/>
      <c r="V29" s="793"/>
      <c r="W29" s="793"/>
      <c r="X29" s="793"/>
      <c r="Y29" s="793"/>
      <c r="Z29" s="793"/>
      <c r="AA29" s="793"/>
      <c r="AB29" s="793"/>
      <c r="AC29" s="793"/>
      <c r="AD29" s="793"/>
      <c r="AE29" s="793"/>
      <c r="AF29" s="793"/>
      <c r="AG29" s="793"/>
      <c r="AH29" s="793"/>
      <c r="AI29" s="793"/>
      <c r="AJ29" s="793"/>
      <c r="AK29" s="793"/>
      <c r="AL29" s="793"/>
      <c r="AM29" s="793"/>
      <c r="AN29" s="793"/>
      <c r="AO29" s="793"/>
      <c r="AP29" s="793"/>
      <c r="AQ29" s="793"/>
      <c r="AR29" s="793"/>
      <c r="BB29" s="476"/>
      <c r="BC29" s="476"/>
      <c r="BD29" s="476"/>
      <c r="BE29" s="476"/>
      <c r="BF29" s="476"/>
    </row>
    <row r="30" spans="1:58" s="58" customFormat="1" ht="31.95" customHeight="1" x14ac:dyDescent="0.3">
      <c r="A30" s="56"/>
      <c r="B30" s="71"/>
      <c r="C30" s="71"/>
      <c r="D30" s="793"/>
      <c r="E30" s="793"/>
      <c r="F30" s="793"/>
      <c r="G30" s="793"/>
      <c r="H30" s="793"/>
      <c r="I30" s="793"/>
      <c r="J30" s="793"/>
      <c r="K30" s="793"/>
      <c r="L30" s="793"/>
      <c r="M30" s="793"/>
      <c r="N30" s="793"/>
      <c r="O30" s="793"/>
      <c r="P30" s="793"/>
      <c r="Q30" s="793"/>
      <c r="R30" s="793"/>
      <c r="S30" s="793"/>
      <c r="T30" s="793"/>
      <c r="U30" s="793"/>
      <c r="V30" s="793"/>
      <c r="W30" s="793"/>
      <c r="X30" s="793"/>
      <c r="Y30" s="793"/>
      <c r="Z30" s="793"/>
      <c r="AA30" s="793"/>
      <c r="AB30" s="793"/>
      <c r="AC30" s="793"/>
      <c r="AD30" s="793"/>
      <c r="AE30" s="793"/>
      <c r="AF30" s="793"/>
      <c r="AG30" s="793"/>
      <c r="AH30" s="793"/>
      <c r="AI30" s="793"/>
      <c r="AJ30" s="793"/>
      <c r="AK30" s="793"/>
      <c r="AL30" s="793"/>
      <c r="AM30" s="793"/>
      <c r="AN30" s="793"/>
      <c r="AO30" s="793"/>
      <c r="AP30" s="793"/>
      <c r="AQ30" s="793"/>
      <c r="AR30" s="793"/>
      <c r="BB30" s="476"/>
      <c r="BC30" s="476"/>
      <c r="BD30" s="476"/>
      <c r="BE30" s="476"/>
      <c r="BF30" s="476"/>
    </row>
    <row r="31" spans="1:58" s="58" customFormat="1" ht="20.25" customHeight="1" x14ac:dyDescent="0.3">
      <c r="A31" s="56"/>
      <c r="B31" s="71"/>
      <c r="C31" s="71"/>
      <c r="D31" s="34"/>
      <c r="E31" s="34"/>
      <c r="F31" s="34"/>
      <c r="G31" s="34"/>
      <c r="H31" s="34"/>
      <c r="I31" s="34"/>
      <c r="J31" s="34"/>
      <c r="K31" s="34"/>
      <c r="L31" s="243"/>
      <c r="M31" s="243"/>
      <c r="N31" s="243"/>
      <c r="O31" s="243"/>
      <c r="P31" s="243"/>
      <c r="Q31" s="243"/>
      <c r="R31" s="243"/>
      <c r="S31" s="243"/>
      <c r="T31" s="243"/>
      <c r="U31" s="243"/>
      <c r="V31" s="243"/>
      <c r="W31" s="243"/>
      <c r="X31" s="243"/>
      <c r="Y31" s="243"/>
      <c r="Z31" s="243"/>
      <c r="AA31" s="243"/>
      <c r="AB31" s="243"/>
      <c r="AC31" s="243"/>
      <c r="AD31" s="243"/>
      <c r="AE31" s="117"/>
      <c r="AF31" s="117"/>
      <c r="AG31" s="117"/>
      <c r="AH31" s="117"/>
      <c r="AI31" s="243"/>
      <c r="AJ31" s="243"/>
      <c r="AK31" s="1"/>
      <c r="AL31" s="1"/>
      <c r="AM31" s="1"/>
      <c r="AN31" s="1"/>
      <c r="AO31" s="1"/>
      <c r="AP31" s="1"/>
      <c r="AQ31" s="1"/>
      <c r="AR31" s="1"/>
      <c r="BB31" s="476"/>
      <c r="BC31" s="476"/>
      <c r="BD31" s="476"/>
      <c r="BE31" s="476"/>
      <c r="BF31" s="476"/>
    </row>
    <row r="32" spans="1:58" s="58" customFormat="1" ht="20.25" customHeight="1" x14ac:dyDescent="0.3">
      <c r="A32" s="56"/>
      <c r="B32" s="60"/>
      <c r="C32" s="60"/>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12"/>
      <c r="AK32" s="12"/>
      <c r="AL32" s="12"/>
      <c r="AM32" s="12"/>
      <c r="AN32" s="12"/>
      <c r="AO32" s="12"/>
      <c r="AP32" s="12"/>
      <c r="AQ32" s="12"/>
      <c r="AR32" s="12"/>
      <c r="BB32" s="476"/>
      <c r="BC32" s="476"/>
      <c r="BD32" s="476"/>
      <c r="BE32" s="476"/>
      <c r="BF32" s="476"/>
    </row>
    <row r="33" spans="1:59" s="14" customFormat="1" ht="20.25" customHeight="1" x14ac:dyDescent="0.4">
      <c r="A33" s="69"/>
      <c r="B33" s="73" t="s">
        <v>1210</v>
      </c>
      <c r="F33" s="74"/>
      <c r="G33" s="74"/>
      <c r="H33" s="74"/>
      <c r="I33" s="74"/>
      <c r="J33" s="74"/>
      <c r="K33" s="74"/>
      <c r="L33" s="74"/>
      <c r="M33" s="74"/>
      <c r="N33" s="74"/>
      <c r="O33" s="74"/>
      <c r="P33" s="74"/>
      <c r="Q33" s="74"/>
      <c r="R33" s="74"/>
      <c r="S33" s="74"/>
      <c r="T33" s="74"/>
      <c r="U33" s="74"/>
      <c r="V33" s="74"/>
      <c r="W33" s="74"/>
      <c r="X33" s="74"/>
      <c r="Y33" s="74"/>
      <c r="Z33" s="74"/>
      <c r="AA33" s="74"/>
      <c r="AB33" s="74"/>
      <c r="AC33" s="74"/>
      <c r="AD33" s="458" t="s">
        <v>1209</v>
      </c>
      <c r="BB33" s="475"/>
      <c r="BC33" s="475"/>
      <c r="BD33" s="475"/>
      <c r="BE33" s="475"/>
      <c r="BF33" s="475"/>
    </row>
    <row r="34" spans="1:59" s="58" customFormat="1" ht="13.2" customHeight="1" x14ac:dyDescent="0.3">
      <c r="A34" s="56"/>
      <c r="C34" s="60"/>
      <c r="D34" s="75"/>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5"/>
      <c r="AI34" s="75"/>
      <c r="AJ34" s="12"/>
      <c r="AK34" s="12"/>
      <c r="AL34" s="12"/>
      <c r="AM34" s="12"/>
      <c r="AN34" s="12"/>
      <c r="AO34" s="12"/>
      <c r="AP34" s="12"/>
      <c r="AQ34" s="12"/>
      <c r="AR34" s="12"/>
      <c r="BB34" s="476"/>
      <c r="BC34" s="476"/>
      <c r="BD34" s="476"/>
      <c r="BE34" s="476"/>
      <c r="BF34" s="476"/>
    </row>
    <row r="35" spans="1:59" s="58" customFormat="1" ht="48.6" customHeight="1" x14ac:dyDescent="0.3">
      <c r="A35" s="56"/>
      <c r="B35" s="788" t="s">
        <v>1211</v>
      </c>
      <c r="C35" s="788"/>
      <c r="D35" s="788"/>
      <c r="E35" s="788"/>
      <c r="F35" s="788"/>
      <c r="G35" s="788"/>
      <c r="H35" s="788"/>
      <c r="I35" s="788"/>
      <c r="J35" s="788"/>
      <c r="K35" s="788"/>
      <c r="L35" s="788"/>
      <c r="M35" s="788"/>
      <c r="N35" s="788"/>
      <c r="O35" s="788"/>
      <c r="P35" s="788"/>
      <c r="Q35" s="788"/>
      <c r="R35" s="788"/>
      <c r="S35" s="788"/>
      <c r="T35" s="788"/>
      <c r="U35" s="788"/>
      <c r="V35" s="789" t="s">
        <v>1222</v>
      </c>
      <c r="W35" s="789"/>
      <c r="X35" s="789"/>
      <c r="Y35" s="789"/>
      <c r="Z35" s="789"/>
      <c r="AA35" s="789"/>
      <c r="AB35" s="789"/>
      <c r="AC35" s="789"/>
      <c r="AD35" s="789"/>
      <c r="AE35" s="789"/>
      <c r="AF35" s="789"/>
      <c r="AG35" s="789"/>
      <c r="AH35" s="460" t="s">
        <v>1220</v>
      </c>
      <c r="AI35" s="790" t="s">
        <v>1221</v>
      </c>
      <c r="AJ35" s="791"/>
      <c r="AK35" s="791"/>
      <c r="AL35" s="791"/>
      <c r="AM35" s="791"/>
      <c r="AN35" s="791"/>
      <c r="AO35" s="791"/>
      <c r="AP35" s="791"/>
      <c r="AQ35" s="792"/>
      <c r="AR35" s="469" t="s">
        <v>1218</v>
      </c>
      <c r="BA35" s="479"/>
      <c r="BB35" s="479"/>
      <c r="BC35" s="479"/>
      <c r="BD35" s="479"/>
      <c r="BE35" s="479"/>
      <c r="BF35" s="479"/>
      <c r="BG35" s="479"/>
    </row>
    <row r="36" spans="1:59" s="58" customFormat="1" ht="56.4" customHeight="1" x14ac:dyDescent="0.25">
      <c r="A36" s="459"/>
      <c r="B36" s="750" t="s">
        <v>1212</v>
      </c>
      <c r="C36" s="750"/>
      <c r="D36" s="750"/>
      <c r="E36" s="750"/>
      <c r="F36" s="750"/>
      <c r="G36" s="750"/>
      <c r="H36" s="750"/>
      <c r="I36" s="750"/>
      <c r="J36" s="750"/>
      <c r="K36" s="750"/>
      <c r="L36" s="750"/>
      <c r="M36" s="750"/>
      <c r="N36" s="750"/>
      <c r="O36" s="750"/>
      <c r="P36" s="750"/>
      <c r="Q36" s="750"/>
      <c r="R36" s="750"/>
      <c r="S36" s="750"/>
      <c r="T36" s="750"/>
      <c r="U36" s="750"/>
      <c r="V36" s="784" t="s">
        <v>1227</v>
      </c>
      <c r="W36" s="785"/>
      <c r="X36" s="785"/>
      <c r="Y36" s="785"/>
      <c r="Z36" s="785"/>
      <c r="AA36" s="785"/>
      <c r="AB36" s="785"/>
      <c r="AC36" s="785"/>
      <c r="AD36" s="785"/>
      <c r="AE36" s="785"/>
      <c r="AF36" s="785"/>
      <c r="AG36" s="785"/>
      <c r="AH36" s="785"/>
      <c r="AI36" s="785"/>
      <c r="AJ36" s="785"/>
      <c r="AK36" s="785"/>
      <c r="AL36" s="785"/>
      <c r="AM36" s="785"/>
      <c r="AN36" s="785"/>
      <c r="AO36" s="785"/>
      <c r="AP36" s="785"/>
      <c r="AQ36" s="786"/>
      <c r="AR36" s="472" t="str">
        <f>IF(BC36&gt;9.99,"OK","NO, DOMANDA NON PRESENTABILE")</f>
        <v>OK</v>
      </c>
      <c r="BA36" s="479"/>
      <c r="BB36" s="480"/>
      <c r="BC36" s="482" t="str">
        <f>+'PAS 6 punteggi'!G8</f>
        <v>0</v>
      </c>
      <c r="BD36" s="480"/>
      <c r="BE36" s="479"/>
      <c r="BF36" s="479"/>
      <c r="BG36" s="479"/>
    </row>
    <row r="37" spans="1:59" s="58" customFormat="1" ht="56.4" customHeight="1" x14ac:dyDescent="0.25">
      <c r="A37" s="459"/>
      <c r="B37" s="751" t="s">
        <v>1213</v>
      </c>
      <c r="C37" s="751"/>
      <c r="D37" s="751"/>
      <c r="E37" s="751"/>
      <c r="F37" s="751"/>
      <c r="G37" s="751"/>
      <c r="H37" s="751"/>
      <c r="I37" s="751"/>
      <c r="J37" s="751"/>
      <c r="K37" s="751"/>
      <c r="L37" s="751"/>
      <c r="M37" s="751"/>
      <c r="N37" s="751"/>
      <c r="O37" s="751"/>
      <c r="P37" s="751"/>
      <c r="Q37" s="751"/>
      <c r="R37" s="751"/>
      <c r="S37" s="751"/>
      <c r="T37" s="751"/>
      <c r="U37" s="751"/>
      <c r="V37" s="752" t="s">
        <v>1226</v>
      </c>
      <c r="W37" s="752"/>
      <c r="X37" s="752"/>
      <c r="Y37" s="752"/>
      <c r="Z37" s="752"/>
      <c r="AA37" s="752"/>
      <c r="AB37" s="752"/>
      <c r="AC37" s="752"/>
      <c r="AD37" s="752"/>
      <c r="AE37" s="752"/>
      <c r="AF37" s="752"/>
      <c r="AG37" s="752"/>
      <c r="AH37" s="487" t="str">
        <f>IF('PAS 3 trasf comm rec terreni'!AU17&gt;0.1%,"SI","NO")</f>
        <v>NO</v>
      </c>
      <c r="AI37" s="741"/>
      <c r="AJ37" s="742"/>
      <c r="AK37" s="742"/>
      <c r="AL37" s="742"/>
      <c r="AM37" s="742"/>
      <c r="AN37" s="742"/>
      <c r="AO37" s="742"/>
      <c r="AP37" s="742"/>
      <c r="AQ37" s="743"/>
      <c r="AR37" s="467" t="str">
        <f>IF(AH37="SI","OK","NO")</f>
        <v>NO</v>
      </c>
      <c r="BA37" s="479"/>
      <c r="BB37" s="480"/>
      <c r="BC37" s="481" t="str">
        <f>IF('PAS 3 trasf comm rec terreni'!AU17&gt;10%,"OK","NO")</f>
        <v>NO</v>
      </c>
      <c r="BD37" s="480"/>
      <c r="BE37" s="479"/>
      <c r="BF37" s="479"/>
      <c r="BG37" s="479"/>
    </row>
    <row r="38" spans="1:59" s="58" customFormat="1" ht="56.4" customHeight="1" x14ac:dyDescent="0.25">
      <c r="A38" s="459"/>
      <c r="B38" s="751" t="s">
        <v>1214</v>
      </c>
      <c r="C38" s="751"/>
      <c r="D38" s="751"/>
      <c r="E38" s="751"/>
      <c r="F38" s="751"/>
      <c r="G38" s="751"/>
      <c r="H38" s="751"/>
      <c r="I38" s="751"/>
      <c r="J38" s="751"/>
      <c r="K38" s="751"/>
      <c r="L38" s="751"/>
      <c r="M38" s="751"/>
      <c r="N38" s="751"/>
      <c r="O38" s="751"/>
      <c r="P38" s="751"/>
      <c r="Q38" s="751"/>
      <c r="R38" s="751"/>
      <c r="S38" s="751"/>
      <c r="T38" s="751"/>
      <c r="U38" s="751"/>
      <c r="V38" s="753"/>
      <c r="W38" s="753"/>
      <c r="X38" s="753"/>
      <c r="Y38" s="753"/>
      <c r="Z38" s="753"/>
      <c r="AA38" s="753"/>
      <c r="AB38" s="753"/>
      <c r="AC38" s="753"/>
      <c r="AD38" s="753"/>
      <c r="AE38" s="753"/>
      <c r="AF38" s="753"/>
      <c r="AG38" s="753"/>
      <c r="AH38" s="461"/>
      <c r="AI38" s="741"/>
      <c r="AJ38" s="742"/>
      <c r="AK38" s="742"/>
      <c r="AL38" s="742"/>
      <c r="AM38" s="742"/>
      <c r="AN38" s="742"/>
      <c r="AO38" s="742"/>
      <c r="AP38" s="742"/>
      <c r="AQ38" s="743"/>
      <c r="AR38" s="467" t="str">
        <f>IF(AH38="SI","OK","NO")</f>
        <v>NO</v>
      </c>
      <c r="BA38" s="479"/>
      <c r="BB38" s="479"/>
      <c r="BC38" s="479"/>
      <c r="BD38" s="479"/>
      <c r="BE38" s="479"/>
      <c r="BF38" s="479"/>
      <c r="BG38" s="479"/>
    </row>
    <row r="39" spans="1:59" s="58" customFormat="1" ht="56.4" customHeight="1" x14ac:dyDescent="0.25">
      <c r="A39" s="459"/>
      <c r="B39" s="749" t="s">
        <v>194</v>
      </c>
      <c r="C39" s="749"/>
      <c r="D39" s="749"/>
      <c r="E39" s="749"/>
      <c r="F39" s="749"/>
      <c r="G39" s="749"/>
      <c r="H39" s="749"/>
      <c r="I39" s="749"/>
      <c r="J39" s="749"/>
      <c r="K39" s="749"/>
      <c r="L39" s="749"/>
      <c r="M39" s="749"/>
      <c r="N39" s="749"/>
      <c r="O39" s="749"/>
      <c r="P39" s="749"/>
      <c r="Q39" s="749"/>
      <c r="R39" s="749"/>
      <c r="S39" s="749"/>
      <c r="T39" s="749"/>
      <c r="U39" s="749"/>
      <c r="V39" s="753"/>
      <c r="W39" s="753"/>
      <c r="X39" s="753"/>
      <c r="Y39" s="753"/>
      <c r="Z39" s="753"/>
      <c r="AA39" s="753"/>
      <c r="AB39" s="753"/>
      <c r="AC39" s="753"/>
      <c r="AD39" s="753"/>
      <c r="AE39" s="753"/>
      <c r="AF39" s="753"/>
      <c r="AG39" s="753"/>
      <c r="AH39" s="461"/>
      <c r="AI39" s="741"/>
      <c r="AJ39" s="742"/>
      <c r="AK39" s="742"/>
      <c r="AL39" s="742"/>
      <c r="AM39" s="742"/>
      <c r="AN39" s="742"/>
      <c r="AO39" s="742"/>
      <c r="AP39" s="742"/>
      <c r="AQ39" s="743"/>
      <c r="AR39" s="467" t="str">
        <f t="shared" ref="AR39:AR42" si="0">IF(AH39="SI","OK","NO")</f>
        <v>NO</v>
      </c>
      <c r="BB39" s="476"/>
      <c r="BC39" s="476"/>
      <c r="BD39" s="476"/>
      <c r="BE39" s="476"/>
      <c r="BF39" s="476"/>
    </row>
    <row r="40" spans="1:59" s="58" customFormat="1" ht="56.4" customHeight="1" x14ac:dyDescent="0.25">
      <c r="A40" s="459"/>
      <c r="B40" s="749" t="s">
        <v>1215</v>
      </c>
      <c r="C40" s="749"/>
      <c r="D40" s="749"/>
      <c r="E40" s="749"/>
      <c r="F40" s="749"/>
      <c r="G40" s="749"/>
      <c r="H40" s="749"/>
      <c r="I40" s="749"/>
      <c r="J40" s="749"/>
      <c r="K40" s="749"/>
      <c r="L40" s="749"/>
      <c r="M40" s="749"/>
      <c r="N40" s="749"/>
      <c r="O40" s="749"/>
      <c r="P40" s="749"/>
      <c r="Q40" s="749"/>
      <c r="R40" s="749"/>
      <c r="S40" s="749"/>
      <c r="T40" s="749"/>
      <c r="U40" s="749"/>
      <c r="V40" s="753"/>
      <c r="W40" s="753"/>
      <c r="X40" s="753"/>
      <c r="Y40" s="753"/>
      <c r="Z40" s="753"/>
      <c r="AA40" s="753"/>
      <c r="AB40" s="753"/>
      <c r="AC40" s="753"/>
      <c r="AD40" s="753"/>
      <c r="AE40" s="753"/>
      <c r="AF40" s="753"/>
      <c r="AG40" s="753"/>
      <c r="AH40" s="461"/>
      <c r="AI40" s="741"/>
      <c r="AJ40" s="742"/>
      <c r="AK40" s="742"/>
      <c r="AL40" s="742"/>
      <c r="AM40" s="742"/>
      <c r="AN40" s="742"/>
      <c r="AO40" s="742"/>
      <c r="AP40" s="742"/>
      <c r="AQ40" s="743"/>
      <c r="AR40" s="467" t="str">
        <f t="shared" si="0"/>
        <v>NO</v>
      </c>
      <c r="BB40" s="476"/>
      <c r="BC40" s="476"/>
      <c r="BD40" s="476"/>
      <c r="BE40" s="476"/>
      <c r="BF40" s="476"/>
    </row>
    <row r="41" spans="1:59" s="58" customFormat="1" ht="56.4" customHeight="1" x14ac:dyDescent="0.25">
      <c r="A41" s="459"/>
      <c r="B41" s="749" t="s">
        <v>1216</v>
      </c>
      <c r="C41" s="749"/>
      <c r="D41" s="749"/>
      <c r="E41" s="749"/>
      <c r="F41" s="749"/>
      <c r="G41" s="749"/>
      <c r="H41" s="749"/>
      <c r="I41" s="749"/>
      <c r="J41" s="749"/>
      <c r="K41" s="749"/>
      <c r="L41" s="749"/>
      <c r="M41" s="749"/>
      <c r="N41" s="749"/>
      <c r="O41" s="749"/>
      <c r="P41" s="749"/>
      <c r="Q41" s="749"/>
      <c r="R41" s="749"/>
      <c r="S41" s="749"/>
      <c r="T41" s="749"/>
      <c r="U41" s="749"/>
      <c r="V41" s="753"/>
      <c r="W41" s="753"/>
      <c r="X41" s="753"/>
      <c r="Y41" s="753"/>
      <c r="Z41" s="753"/>
      <c r="AA41" s="753"/>
      <c r="AB41" s="753"/>
      <c r="AC41" s="753"/>
      <c r="AD41" s="753"/>
      <c r="AE41" s="753"/>
      <c r="AF41" s="753"/>
      <c r="AG41" s="753"/>
      <c r="AH41" s="461"/>
      <c r="AI41" s="741"/>
      <c r="AJ41" s="742"/>
      <c r="AK41" s="742"/>
      <c r="AL41" s="742"/>
      <c r="AM41" s="742"/>
      <c r="AN41" s="742"/>
      <c r="AO41" s="742"/>
      <c r="AP41" s="742"/>
      <c r="AQ41" s="743"/>
      <c r="AR41" s="467" t="str">
        <f t="shared" si="0"/>
        <v>NO</v>
      </c>
      <c r="BB41" s="476"/>
      <c r="BC41" s="476"/>
      <c r="BD41" s="476"/>
      <c r="BE41" s="476"/>
      <c r="BF41" s="476"/>
    </row>
    <row r="42" spans="1:59" s="58" customFormat="1" ht="55.8" customHeight="1" x14ac:dyDescent="0.25">
      <c r="A42" s="459"/>
      <c r="B42" s="749" t="s">
        <v>1217</v>
      </c>
      <c r="C42" s="749"/>
      <c r="D42" s="749"/>
      <c r="E42" s="749"/>
      <c r="F42" s="749"/>
      <c r="G42" s="749"/>
      <c r="H42" s="749"/>
      <c r="I42" s="749"/>
      <c r="J42" s="749"/>
      <c r="K42" s="749"/>
      <c r="L42" s="749"/>
      <c r="M42" s="749"/>
      <c r="N42" s="749"/>
      <c r="O42" s="749"/>
      <c r="P42" s="749"/>
      <c r="Q42" s="749"/>
      <c r="R42" s="749"/>
      <c r="S42" s="749"/>
      <c r="T42" s="749"/>
      <c r="U42" s="749"/>
      <c r="V42" s="753"/>
      <c r="W42" s="753"/>
      <c r="X42" s="753"/>
      <c r="Y42" s="753"/>
      <c r="Z42" s="753"/>
      <c r="AA42" s="753"/>
      <c r="AB42" s="753"/>
      <c r="AC42" s="753"/>
      <c r="AD42" s="753"/>
      <c r="AE42" s="753"/>
      <c r="AF42" s="753"/>
      <c r="AG42" s="753"/>
      <c r="AH42" s="461"/>
      <c r="AI42" s="741"/>
      <c r="AJ42" s="742"/>
      <c r="AK42" s="742"/>
      <c r="AL42" s="742"/>
      <c r="AM42" s="742"/>
      <c r="AN42" s="742"/>
      <c r="AO42" s="742"/>
      <c r="AP42" s="742"/>
      <c r="AQ42" s="743"/>
      <c r="AR42" s="467" t="str">
        <f t="shared" si="0"/>
        <v>NO</v>
      </c>
      <c r="BB42" s="476"/>
      <c r="BC42" s="476"/>
      <c r="BD42" s="476"/>
      <c r="BE42" s="476"/>
      <c r="BF42" s="476"/>
    </row>
    <row r="43" spans="1:59" ht="31.8" customHeight="1" x14ac:dyDescent="0.3">
      <c r="B43" s="744" t="s">
        <v>1225</v>
      </c>
      <c r="C43" s="745"/>
      <c r="D43" s="745"/>
      <c r="E43" s="745"/>
      <c r="F43" s="745"/>
      <c r="G43" s="745"/>
      <c r="H43" s="745"/>
      <c r="I43" s="745"/>
      <c r="J43" s="745"/>
      <c r="K43" s="745"/>
      <c r="L43" s="745"/>
      <c r="M43" s="745"/>
      <c r="N43" s="745"/>
      <c r="O43" s="745"/>
      <c r="P43" s="745"/>
      <c r="Q43" s="745"/>
      <c r="R43" s="745"/>
      <c r="S43" s="745"/>
      <c r="T43" s="745"/>
      <c r="U43" s="745"/>
      <c r="V43" s="745"/>
      <c r="W43" s="745"/>
      <c r="X43" s="745"/>
      <c r="Y43" s="745"/>
      <c r="Z43" s="745"/>
      <c r="AA43" s="745"/>
      <c r="AB43" s="745"/>
      <c r="AC43" s="745"/>
      <c r="AD43" s="745"/>
      <c r="AE43" s="745"/>
      <c r="AF43" s="745"/>
      <c r="AG43" s="745"/>
      <c r="AH43" s="745"/>
      <c r="AI43" s="746">
        <f>SUM(AI37:AQ42)</f>
        <v>0</v>
      </c>
      <c r="AJ43" s="747"/>
      <c r="AK43" s="747"/>
      <c r="AL43" s="747"/>
      <c r="AM43" s="747"/>
      <c r="AN43" s="747"/>
      <c r="AO43" s="747"/>
      <c r="AP43" s="747"/>
      <c r="AQ43" s="748"/>
      <c r="AR43" s="468"/>
    </row>
    <row r="44" spans="1:59" ht="15" customHeight="1" x14ac:dyDescent="0.3">
      <c r="AE44" s="68"/>
      <c r="AF44" s="68"/>
      <c r="AG44" s="68"/>
      <c r="AH44" s="68"/>
    </row>
    <row r="45" spans="1:59" s="32" customFormat="1" ht="31.8" customHeight="1" x14ac:dyDescent="0.25">
      <c r="B45" s="787" t="s">
        <v>1219</v>
      </c>
      <c r="C45" s="787"/>
      <c r="D45" s="787"/>
      <c r="E45" s="787"/>
      <c r="F45" s="787"/>
      <c r="G45" s="787"/>
      <c r="H45" s="787"/>
      <c r="I45" s="787"/>
      <c r="J45" s="787"/>
      <c r="K45" s="787"/>
      <c r="L45" s="787"/>
      <c r="M45" s="787"/>
      <c r="N45" s="787"/>
      <c r="O45" s="787"/>
      <c r="P45" s="787"/>
      <c r="Q45" s="787"/>
      <c r="R45" s="787"/>
      <c r="S45" s="787"/>
      <c r="T45" s="787"/>
      <c r="U45" s="787"/>
      <c r="V45" s="787"/>
      <c r="W45" s="787"/>
      <c r="X45" s="787"/>
      <c r="Y45" s="787"/>
      <c r="Z45" s="787"/>
      <c r="AA45" s="787"/>
      <c r="AB45" s="787"/>
      <c r="AC45" s="787"/>
      <c r="AD45" s="787"/>
      <c r="AE45" s="787"/>
      <c r="AF45" s="787"/>
      <c r="AG45" s="787"/>
      <c r="AH45" s="787"/>
      <c r="AI45" s="781" t="str">
        <f>IF(COUNTIFS(AR36:AR42,"=OK")&gt;1,"OK","NO")</f>
        <v>NO</v>
      </c>
      <c r="AJ45" s="782"/>
      <c r="AK45" s="782"/>
      <c r="AL45" s="782"/>
      <c r="AM45" s="782"/>
      <c r="AN45" s="782"/>
      <c r="AO45" s="782"/>
      <c r="AP45" s="782"/>
      <c r="AQ45" s="782"/>
      <c r="AR45" s="783"/>
      <c r="BB45" s="478"/>
      <c r="BC45" s="478"/>
      <c r="BD45" s="478"/>
      <c r="BE45" s="478"/>
      <c r="BF45" s="478"/>
    </row>
    <row r="46" spans="1:59" ht="20.25" customHeight="1" x14ac:dyDescent="0.3">
      <c r="AE46" s="780"/>
      <c r="AF46" s="780"/>
      <c r="AG46" s="780"/>
      <c r="AH46" s="780"/>
    </row>
    <row r="47" spans="1:59" ht="20.25" customHeight="1" x14ac:dyDescent="0.3">
      <c r="AE47" s="780"/>
      <c r="AF47" s="780"/>
      <c r="AG47" s="780"/>
      <c r="AH47" s="780"/>
    </row>
    <row r="48" spans="1:59" ht="20.25" customHeight="1" x14ac:dyDescent="0.3">
      <c r="AE48" s="780"/>
      <c r="AF48" s="780"/>
      <c r="AG48" s="780"/>
      <c r="AH48" s="780"/>
    </row>
  </sheetData>
  <sheetProtection algorithmName="SHA-512" hashValue="7+biKdPCTnm2K+/BgtHDPKPty0izn1hfn6sv95Pa1ou98IyvqMOcgbevCAqAwTvCHj8ieiNYSFpFL0MpuDAqAQ==" saltValue="B5KGG/mldicqX54spGL2VQ==" spinCount="100000" sheet="1" formatCells="0" formatColumns="0" formatRows="0" insertColumns="0" insertRows="0" insertHyperlinks="0" deleteColumns="0" deleteRows="0" sort="0" autoFilter="0" pivotTables="0"/>
  <mergeCells count="100">
    <mergeCell ref="B27:C27"/>
    <mergeCell ref="D29:AR30"/>
    <mergeCell ref="D17:AI17"/>
    <mergeCell ref="B12:C12"/>
    <mergeCell ref="B26:C26"/>
    <mergeCell ref="D26:AD26"/>
    <mergeCell ref="B13:C13"/>
    <mergeCell ref="AE16:AH16"/>
    <mergeCell ref="T13:AG13"/>
    <mergeCell ref="AJ22:AR22"/>
    <mergeCell ref="D23:AI23"/>
    <mergeCell ref="T14:AG14"/>
    <mergeCell ref="AJ18:AR18"/>
    <mergeCell ref="D12:S12"/>
    <mergeCell ref="D15:AI15"/>
    <mergeCell ref="AJ17:AR17"/>
    <mergeCell ref="AE48:AH48"/>
    <mergeCell ref="AE26:AR26"/>
    <mergeCell ref="AE46:AH46"/>
    <mergeCell ref="AE47:AH47"/>
    <mergeCell ref="V40:AG40"/>
    <mergeCell ref="V41:AG41"/>
    <mergeCell ref="V42:AG42"/>
    <mergeCell ref="AI37:AQ37"/>
    <mergeCell ref="AI45:AR45"/>
    <mergeCell ref="V36:AQ36"/>
    <mergeCell ref="B45:AH45"/>
    <mergeCell ref="AI38:AQ38"/>
    <mergeCell ref="AI39:AQ39"/>
    <mergeCell ref="B35:U35"/>
    <mergeCell ref="V35:AG35"/>
    <mergeCell ref="AI35:AQ35"/>
    <mergeCell ref="B25:C25"/>
    <mergeCell ref="D25:AD25"/>
    <mergeCell ref="AE25:AR25"/>
    <mergeCell ref="AJ21:AR21"/>
    <mergeCell ref="B18:C18"/>
    <mergeCell ref="AJ23:AR23"/>
    <mergeCell ref="B23:C23"/>
    <mergeCell ref="B22:C22"/>
    <mergeCell ref="D22:AI22"/>
    <mergeCell ref="AJ20:AR20"/>
    <mergeCell ref="B19:C19"/>
    <mergeCell ref="AJ19:AR19"/>
    <mergeCell ref="D19:AI19"/>
    <mergeCell ref="D18:AI18"/>
    <mergeCell ref="AJ14:AR14"/>
    <mergeCell ref="AJ15:AR15"/>
    <mergeCell ref="D9:S9"/>
    <mergeCell ref="D10:S10"/>
    <mergeCell ref="D13:S14"/>
    <mergeCell ref="D11:S11"/>
    <mergeCell ref="AH10:AI10"/>
    <mergeCell ref="AH13:AI13"/>
    <mergeCell ref="AH14:AI14"/>
    <mergeCell ref="T11:AI11"/>
    <mergeCell ref="T12:AG12"/>
    <mergeCell ref="AH12:AI12"/>
    <mergeCell ref="AJ13:AR13"/>
    <mergeCell ref="A4:AR4"/>
    <mergeCell ref="AE24:AH24"/>
    <mergeCell ref="D27:AR27"/>
    <mergeCell ref="A1:AS2"/>
    <mergeCell ref="B8:C8"/>
    <mergeCell ref="B17:C17"/>
    <mergeCell ref="B21:C21"/>
    <mergeCell ref="D21:AI21"/>
    <mergeCell ref="B11:C11"/>
    <mergeCell ref="T8:AG8"/>
    <mergeCell ref="AJ8:AR8"/>
    <mergeCell ref="AJ9:AR9"/>
    <mergeCell ref="AJ10:AR10"/>
    <mergeCell ref="AJ11:AR11"/>
    <mergeCell ref="AJ12:AR12"/>
    <mergeCell ref="AH8:AI8"/>
    <mergeCell ref="D8:S8"/>
    <mergeCell ref="B20:C20"/>
    <mergeCell ref="B9:C9"/>
    <mergeCell ref="T9:AG9"/>
    <mergeCell ref="D20:AI20"/>
    <mergeCell ref="AH9:AI9"/>
    <mergeCell ref="B10:C10"/>
    <mergeCell ref="T10:AG10"/>
    <mergeCell ref="B15:C15"/>
    <mergeCell ref="B14:C14"/>
    <mergeCell ref="B36:U36"/>
    <mergeCell ref="B37:U37"/>
    <mergeCell ref="B38:U38"/>
    <mergeCell ref="B39:U39"/>
    <mergeCell ref="V37:AG37"/>
    <mergeCell ref="V38:AG38"/>
    <mergeCell ref="V39:AG39"/>
    <mergeCell ref="AI42:AQ42"/>
    <mergeCell ref="B43:AH43"/>
    <mergeCell ref="AI43:AQ43"/>
    <mergeCell ref="AI40:AQ40"/>
    <mergeCell ref="AI41:AQ41"/>
    <mergeCell ref="B40:U40"/>
    <mergeCell ref="B41:U41"/>
    <mergeCell ref="B42:U42"/>
  </mergeCells>
  <phoneticPr fontId="0" type="noConversion"/>
  <conditionalFormatting sqref="AE25:AR26">
    <cfRule type="cellIs" dxfId="33" priority="13" stopIfTrue="1" operator="equal">
      <formula>"OK"</formula>
    </cfRule>
    <cfRule type="cellIs" dxfId="32" priority="14" stopIfTrue="1" operator="equal">
      <formula>"SI"</formula>
    </cfRule>
    <cfRule type="cellIs" dxfId="31" priority="15" stopIfTrue="1" operator="equal">
      <formula>"NO"</formula>
    </cfRule>
    <cfRule type="cellIs" dxfId="30" priority="16" stopIfTrue="1" operator="equal">
      <formula>"SI"</formula>
    </cfRule>
  </conditionalFormatting>
  <conditionalFormatting sqref="AJ32:AR32 AJ34:AR34 BC37 AR35:AR42">
    <cfRule type="cellIs" dxfId="29" priority="12" stopIfTrue="1" operator="equal">
      <formula>"OK"</formula>
    </cfRule>
  </conditionalFormatting>
  <conditionalFormatting sqref="AR36">
    <cfRule type="cellIs" dxfId="28" priority="4" operator="equal">
      <formula>"NO, DOMANDA NON PRESENTABILE"</formula>
    </cfRule>
  </conditionalFormatting>
  <conditionalFormatting sqref="AR37:AR42">
    <cfRule type="cellIs" dxfId="27" priority="3" operator="equal">
      <formula>"NO"</formula>
    </cfRule>
  </conditionalFormatting>
  <conditionalFormatting sqref="AI45">
    <cfRule type="cellIs" dxfId="26" priority="2" stopIfTrue="1" operator="equal">
      <formula>"OK"</formula>
    </cfRule>
  </conditionalFormatting>
  <conditionalFormatting sqref="AI45">
    <cfRule type="cellIs" dxfId="25" priority="1" operator="equal">
      <formula>"NO"</formula>
    </cfRule>
  </conditionalFormatting>
  <dataValidations count="1">
    <dataValidation type="list" allowBlank="1" showInputMessage="1" showErrorMessage="1" sqref="AH38:AH42">
      <formula1>"SI,"</formula1>
    </dataValidation>
  </dataValidations>
  <printOptions horizontalCentered="1"/>
  <pageMargins left="0.43307086614173229" right="0.43307086614173229" top="0.59055118110236227" bottom="0.55118110236220474" header="0.31496062992125984" footer="0.31496062992125984"/>
  <pageSetup paperSize="9" scale="47" orientation="portrait" blackAndWhite="1" r:id="rId1"/>
  <headerFooter alignWithMargins="0">
    <oddHeader>&amp;C&amp;14Regione Liguria - Piano Aziendale di Sviluppo&amp;R&amp;12PACCHETTO GIOVANI SOTTOMISURE 4.1 e 6.1</oddHeader>
    <oddFooter>&amp;C&amp;14&amp;A&amp;Rpag 5</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GO55"/>
  <sheetViews>
    <sheetView showGridLines="0" topLeftCell="A9" zoomScale="90" zoomScaleNormal="90" zoomScaleSheetLayoutView="100" workbookViewId="0">
      <selection activeCell="I9" sqref="I9"/>
    </sheetView>
  </sheetViews>
  <sheetFormatPr defaultColWidth="8.88671875" defaultRowHeight="13.2" x14ac:dyDescent="0.25"/>
  <cols>
    <col min="1" max="1" width="2.6640625" style="244" customWidth="1"/>
    <col min="2" max="2" width="67.6640625" style="244" customWidth="1"/>
    <col min="3" max="3" width="16.33203125" style="244" customWidth="1"/>
    <col min="4" max="4" width="12.109375" style="244" customWidth="1"/>
    <col min="5" max="5" width="49" style="244" customWidth="1"/>
    <col min="6" max="6" width="17.5546875" style="244" customWidth="1"/>
    <col min="7" max="7" width="9.88671875" style="244" customWidth="1"/>
    <col min="8" max="8" width="6.33203125" style="244" customWidth="1"/>
    <col min="9" max="9" width="14" style="244" customWidth="1"/>
    <col min="10" max="10" width="2.33203125" style="244" customWidth="1"/>
    <col min="11" max="11" width="18.88671875" style="244" customWidth="1"/>
    <col min="12" max="12" width="12.6640625" style="244" customWidth="1"/>
    <col min="13" max="106" width="19.44140625" style="244" customWidth="1"/>
    <col min="107" max="119" width="4.33203125" style="244" customWidth="1"/>
    <col min="120" max="123" width="5.88671875" style="244" customWidth="1"/>
    <col min="124" max="124" width="5.88671875" style="307" customWidth="1"/>
    <col min="125" max="126" width="6.6640625" style="307" customWidth="1"/>
    <col min="127" max="127" width="8.88671875" style="307" customWidth="1"/>
    <col min="128" max="187" width="8.88671875" style="244" customWidth="1"/>
    <col min="188" max="188" width="8.88671875" style="307" customWidth="1"/>
    <col min="189" max="189" width="8.88671875" style="244" customWidth="1"/>
    <col min="190" max="190" width="17.6640625" style="334" customWidth="1"/>
    <col min="191" max="191" width="10" style="334" customWidth="1"/>
    <col min="192" max="192" width="10.44140625" style="334" customWidth="1"/>
    <col min="193" max="193" width="9.109375" style="307" customWidth="1"/>
    <col min="194" max="194" width="13.88671875" style="307" customWidth="1"/>
    <col min="195" max="195" width="9.88671875" style="244" customWidth="1"/>
    <col min="196" max="197" width="8.88671875" style="307" customWidth="1"/>
    <col min="198" max="16384" width="8.88671875" style="244"/>
  </cols>
  <sheetData>
    <row r="1" spans="1:197" ht="22.8" x14ac:dyDescent="0.4">
      <c r="B1" s="800" t="s">
        <v>181</v>
      </c>
      <c r="C1" s="800"/>
      <c r="D1" s="800"/>
      <c r="E1" s="800"/>
      <c r="F1" s="800"/>
      <c r="G1" s="800"/>
      <c r="H1" s="800"/>
      <c r="I1" s="800"/>
      <c r="GH1" s="383"/>
      <c r="GI1" s="383"/>
      <c r="GJ1" s="383"/>
      <c r="GK1" s="308"/>
      <c r="GL1" s="308"/>
    </row>
    <row r="3" spans="1:197" ht="36" customHeight="1" x14ac:dyDescent="0.25">
      <c r="B3" s="801" t="s">
        <v>417</v>
      </c>
      <c r="C3" s="801"/>
      <c r="D3" s="801"/>
      <c r="E3" s="309" t="s">
        <v>418</v>
      </c>
      <c r="F3" s="309"/>
      <c r="G3" s="310" t="s">
        <v>899</v>
      </c>
      <c r="H3" s="311" t="s">
        <v>900</v>
      </c>
      <c r="I3" s="311" t="s">
        <v>446</v>
      </c>
    </row>
    <row r="4" spans="1:197" ht="108" customHeight="1" x14ac:dyDescent="0.25">
      <c r="A4" s="244">
        <v>1</v>
      </c>
      <c r="B4" s="802" t="s">
        <v>419</v>
      </c>
      <c r="C4" s="803"/>
      <c r="D4" s="804"/>
      <c r="E4" s="357" t="s">
        <v>901</v>
      </c>
      <c r="F4" s="415"/>
      <c r="G4" s="372"/>
      <c r="H4" s="312">
        <v>15</v>
      </c>
      <c r="I4" s="208">
        <v>15</v>
      </c>
    </row>
    <row r="5" spans="1:197" ht="26.4" customHeight="1" x14ac:dyDescent="0.25">
      <c r="A5" s="870">
        <v>2</v>
      </c>
      <c r="B5" s="805" t="s">
        <v>979</v>
      </c>
      <c r="C5" s="806"/>
      <c r="D5" s="807"/>
      <c r="E5" s="888" t="s">
        <v>1206</v>
      </c>
      <c r="F5" s="889"/>
      <c r="G5" s="434" t="s">
        <v>1204</v>
      </c>
      <c r="H5" s="808">
        <v>13</v>
      </c>
      <c r="I5" s="810" t="str">
        <f>+GH6</f>
        <v>0</v>
      </c>
      <c r="K5" s="834" t="str">
        <f>IF(G6="0","NON ASSEGNA PUNTEGGIO, NON SODDISFATTO IL REQUISITO DEL BANDO RECUPERO TERRENI OLTRE 10%","SODDISFATTO IL REQUISITO DEL BANDO")</f>
        <v>NON ASSEGNA PUNTEGGIO, NON SODDISFATTO IL REQUISITO DEL BANDO RECUPERO TERRENI OLTRE 10%</v>
      </c>
      <c r="L5" s="834"/>
      <c r="M5" s="335"/>
      <c r="N5" s="335"/>
      <c r="O5" s="335"/>
      <c r="P5" s="335"/>
      <c r="Q5" s="335"/>
      <c r="R5" s="335"/>
      <c r="S5" s="335"/>
      <c r="T5" s="335"/>
      <c r="U5" s="335"/>
      <c r="V5" s="335"/>
      <c r="W5" s="335"/>
      <c r="X5" s="335"/>
      <c r="Y5" s="335"/>
      <c r="Z5" s="335"/>
      <c r="AA5" s="335"/>
      <c r="AB5" s="335"/>
      <c r="AC5" s="335"/>
      <c r="AD5" s="335"/>
      <c r="AE5" s="335"/>
      <c r="AF5" s="335"/>
      <c r="AG5" s="335"/>
      <c r="AH5" s="335"/>
      <c r="AI5" s="335"/>
      <c r="AJ5" s="335"/>
      <c r="AK5" s="335"/>
      <c r="AL5" s="335"/>
      <c r="AM5" s="335"/>
      <c r="AN5" s="335"/>
      <c r="AO5" s="335"/>
      <c r="AP5" s="335"/>
      <c r="AQ5" s="335"/>
      <c r="AR5" s="335"/>
      <c r="AS5" s="335"/>
      <c r="AT5" s="335"/>
      <c r="AU5" s="335"/>
      <c r="AV5" s="335"/>
      <c r="AW5" s="335"/>
      <c r="AX5" s="335"/>
      <c r="AY5" s="335"/>
      <c r="AZ5" s="335"/>
      <c r="BA5" s="335"/>
      <c r="BB5" s="335"/>
      <c r="BC5" s="335"/>
      <c r="BD5" s="335"/>
      <c r="BE5" s="335"/>
      <c r="BF5" s="335"/>
      <c r="BG5" s="335"/>
      <c r="BH5" s="335"/>
      <c r="BI5" s="335"/>
      <c r="BJ5" s="335"/>
      <c r="BK5" s="335"/>
      <c r="BL5" s="335"/>
      <c r="BM5" s="335"/>
      <c r="BN5" s="335"/>
      <c r="BO5" s="335"/>
      <c r="BP5" s="335"/>
      <c r="BQ5" s="335"/>
      <c r="BR5" s="335"/>
      <c r="BS5" s="335"/>
      <c r="BT5" s="335"/>
      <c r="BU5" s="335"/>
      <c r="BV5" s="335"/>
      <c r="BW5" s="335"/>
      <c r="BX5" s="335"/>
      <c r="BY5" s="335"/>
      <c r="BZ5" s="335"/>
      <c r="CA5" s="335"/>
      <c r="CB5" s="335"/>
      <c r="CC5" s="335"/>
      <c r="CD5" s="335"/>
      <c r="CE5" s="335"/>
      <c r="CF5" s="335"/>
      <c r="CG5" s="335"/>
      <c r="CH5" s="335"/>
      <c r="CI5" s="335"/>
      <c r="CJ5" s="335"/>
      <c r="CK5" s="335"/>
      <c r="CL5" s="335"/>
      <c r="CM5" s="335"/>
      <c r="CN5" s="335"/>
      <c r="CO5" s="335"/>
      <c r="CP5" s="335"/>
      <c r="CQ5" s="335"/>
      <c r="CR5" s="335"/>
      <c r="CS5" s="335"/>
      <c r="CT5" s="335"/>
      <c r="CU5" s="335"/>
      <c r="CV5" s="335"/>
      <c r="CW5" s="335"/>
      <c r="CX5" s="335"/>
      <c r="CY5" s="335"/>
      <c r="CZ5" s="335"/>
      <c r="DA5" s="335"/>
      <c r="DB5" s="335"/>
      <c r="DC5" s="335"/>
      <c r="DD5" s="335"/>
      <c r="DE5" s="335"/>
      <c r="DF5" s="335"/>
      <c r="DG5" s="335"/>
      <c r="DH5" s="335"/>
      <c r="DI5" s="335"/>
      <c r="DJ5" s="335"/>
      <c r="DK5" s="335"/>
      <c r="DL5" s="335"/>
      <c r="DM5" s="335"/>
      <c r="DN5" s="335"/>
      <c r="DO5" s="335"/>
      <c r="DP5" s="335"/>
      <c r="DQ5" s="335"/>
      <c r="DR5" s="335"/>
      <c r="DS5" s="335"/>
      <c r="DT5" s="335"/>
      <c r="DU5" s="335"/>
      <c r="DV5" s="335"/>
      <c r="DW5" s="335"/>
      <c r="DX5" s="335"/>
      <c r="DY5" s="335"/>
      <c r="GK5" s="307">
        <f>+GJ6*0.5</f>
        <v>-5</v>
      </c>
    </row>
    <row r="6" spans="1:197" ht="55.2" customHeight="1" x14ac:dyDescent="0.25">
      <c r="A6" s="870"/>
      <c r="B6" s="802"/>
      <c r="C6" s="803"/>
      <c r="D6" s="804"/>
      <c r="E6" s="890"/>
      <c r="F6" s="891"/>
      <c r="G6" s="485" t="str">
        <f>IFERROR(+'PAS 2 calc prod stand'!G58,"0")</f>
        <v>0</v>
      </c>
      <c r="H6" s="809"/>
      <c r="I6" s="811"/>
      <c r="K6" s="834"/>
      <c r="L6" s="834"/>
      <c r="M6" s="335"/>
      <c r="N6" s="335"/>
      <c r="O6" s="335"/>
      <c r="P6" s="335"/>
      <c r="Q6" s="335"/>
      <c r="R6" s="335"/>
      <c r="S6" s="335"/>
      <c r="T6" s="335"/>
      <c r="U6" s="335"/>
      <c r="V6" s="335"/>
      <c r="W6" s="335"/>
      <c r="X6" s="335"/>
      <c r="Y6" s="335"/>
      <c r="Z6" s="335"/>
      <c r="AA6" s="335"/>
      <c r="AB6" s="335"/>
      <c r="AC6" s="335"/>
      <c r="AD6" s="335"/>
      <c r="AE6" s="335"/>
      <c r="AF6" s="335"/>
      <c r="AG6" s="335"/>
      <c r="AH6" s="335"/>
      <c r="AI6" s="335"/>
      <c r="AJ6" s="335"/>
      <c r="AK6" s="335"/>
      <c r="AL6" s="335"/>
      <c r="AM6" s="335"/>
      <c r="AN6" s="335"/>
      <c r="AO6" s="335"/>
      <c r="AP6" s="335"/>
      <c r="AQ6" s="335"/>
      <c r="AR6" s="335"/>
      <c r="AS6" s="335"/>
      <c r="AT6" s="335"/>
      <c r="AU6" s="335"/>
      <c r="AV6" s="335"/>
      <c r="AW6" s="335"/>
      <c r="AX6" s="335"/>
      <c r="AY6" s="335"/>
      <c r="AZ6" s="335"/>
      <c r="BA6" s="335"/>
      <c r="BB6" s="335"/>
      <c r="BC6" s="335"/>
      <c r="BD6" s="335"/>
      <c r="BE6" s="335"/>
      <c r="BF6" s="335"/>
      <c r="BG6" s="335"/>
      <c r="BH6" s="335"/>
      <c r="BI6" s="335"/>
      <c r="BJ6" s="335"/>
      <c r="BK6" s="335"/>
      <c r="BL6" s="335"/>
      <c r="BM6" s="335"/>
      <c r="BN6" s="335"/>
      <c r="BO6" s="335"/>
      <c r="BP6" s="335"/>
      <c r="BQ6" s="335"/>
      <c r="BR6" s="335"/>
      <c r="BS6" s="335"/>
      <c r="BT6" s="335"/>
      <c r="BU6" s="335"/>
      <c r="BV6" s="335"/>
      <c r="BW6" s="335"/>
      <c r="BX6" s="335"/>
      <c r="BY6" s="335"/>
      <c r="BZ6" s="335"/>
      <c r="CA6" s="335"/>
      <c r="CB6" s="335"/>
      <c r="CC6" s="335"/>
      <c r="CD6" s="335"/>
      <c r="CE6" s="335"/>
      <c r="CF6" s="335"/>
      <c r="CG6" s="335"/>
      <c r="CH6" s="335"/>
      <c r="CI6" s="335"/>
      <c r="CJ6" s="335"/>
      <c r="CK6" s="335"/>
      <c r="CL6" s="335"/>
      <c r="CM6" s="335"/>
      <c r="CN6" s="335"/>
      <c r="CO6" s="335"/>
      <c r="CP6" s="335"/>
      <c r="CQ6" s="335"/>
      <c r="CR6" s="335"/>
      <c r="CS6" s="335"/>
      <c r="CT6" s="335"/>
      <c r="CU6" s="335"/>
      <c r="CV6" s="335"/>
      <c r="CW6" s="335"/>
      <c r="CX6" s="335"/>
      <c r="CY6" s="335"/>
      <c r="CZ6" s="335"/>
      <c r="DA6" s="335"/>
      <c r="DB6" s="335"/>
      <c r="DC6" s="335"/>
      <c r="DD6" s="335"/>
      <c r="DE6" s="335"/>
      <c r="DF6" s="335"/>
      <c r="DG6" s="335"/>
      <c r="DH6" s="335"/>
      <c r="DI6" s="335"/>
      <c r="DJ6" s="335"/>
      <c r="DK6" s="335"/>
      <c r="DL6" s="335"/>
      <c r="DM6" s="335"/>
      <c r="DN6" s="335"/>
      <c r="DO6" s="335"/>
      <c r="DP6" s="335"/>
      <c r="DQ6" s="335"/>
      <c r="DR6" s="335"/>
      <c r="DS6" s="335"/>
      <c r="DT6" s="335"/>
      <c r="DU6" s="335"/>
      <c r="DV6" s="335"/>
      <c r="DW6" s="335"/>
      <c r="DX6" s="335"/>
      <c r="DY6" s="335"/>
      <c r="GH6" s="333" t="str">
        <f>IF(G6&lt;10,"0",IF(G6=10,"2",GL6))</f>
        <v>0</v>
      </c>
      <c r="GI6" s="457"/>
      <c r="GJ6" s="456">
        <f>+G6-10</f>
        <v>-10</v>
      </c>
      <c r="GK6" s="457">
        <f>+(GJ6*0.5)+2</f>
        <v>-3</v>
      </c>
      <c r="GL6" s="486" t="str">
        <f>IF(GK6&gt;13,"13",IF(GK6&lt;0,"0",GK6))</f>
        <v>0</v>
      </c>
    </row>
    <row r="7" spans="1:197" ht="20.399999999999999" customHeight="1" x14ac:dyDescent="0.25">
      <c r="A7" s="870">
        <v>3</v>
      </c>
      <c r="B7" s="805" t="s">
        <v>902</v>
      </c>
      <c r="C7" s="806"/>
      <c r="D7" s="807"/>
      <c r="E7" s="888" t="s">
        <v>903</v>
      </c>
      <c r="F7" s="889"/>
      <c r="G7" s="435" t="s">
        <v>925</v>
      </c>
      <c r="H7" s="808">
        <v>10</v>
      </c>
      <c r="I7" s="810" t="str">
        <f>IF(G8&lt;10,"0",GL8)</f>
        <v>0</v>
      </c>
      <c r="GH7" s="333"/>
      <c r="GI7" s="457"/>
      <c r="GJ7" s="456"/>
      <c r="GK7" s="457"/>
      <c r="GL7" s="486"/>
    </row>
    <row r="8" spans="1:197" ht="66" customHeight="1" x14ac:dyDescent="0.25">
      <c r="A8" s="870"/>
      <c r="B8" s="802"/>
      <c r="C8" s="803"/>
      <c r="D8" s="804"/>
      <c r="E8" s="890"/>
      <c r="F8" s="891"/>
      <c r="G8" s="485" t="str">
        <f>IFERROR(+'PAS 2 calc prod stand'!I64,"0")</f>
        <v>0</v>
      </c>
      <c r="H8" s="809"/>
      <c r="I8" s="811"/>
      <c r="K8" s="834" t="str">
        <f>IF(G8&lt;10,"L'AUMENTO DI PS NON E' CONFORME AL BANDO, DEVE ESSERE SUPERIORE AL 10%","OK CONFORME AL BANDO")</f>
        <v>OK CONFORME AL BANDO</v>
      </c>
      <c r="L8" s="834"/>
      <c r="M8" s="336"/>
      <c r="N8" s="336"/>
      <c r="O8" s="336"/>
      <c r="P8" s="336"/>
      <c r="Q8" s="336"/>
      <c r="R8" s="336"/>
      <c r="S8" s="336"/>
      <c r="T8" s="336"/>
      <c r="U8" s="336"/>
      <c r="V8" s="336"/>
      <c r="W8" s="336"/>
      <c r="X8" s="336"/>
      <c r="Y8" s="336"/>
      <c r="Z8" s="336"/>
      <c r="AA8" s="336"/>
      <c r="AB8" s="336"/>
      <c r="AC8" s="336"/>
      <c r="AD8" s="336"/>
      <c r="AE8" s="336"/>
      <c r="AF8" s="336"/>
      <c r="AG8" s="336"/>
      <c r="AH8" s="336"/>
      <c r="AI8" s="336"/>
      <c r="AJ8" s="336"/>
      <c r="AK8" s="336"/>
      <c r="AL8" s="336"/>
      <c r="AM8" s="336"/>
      <c r="AN8" s="336"/>
      <c r="AO8" s="336"/>
      <c r="AP8" s="336"/>
      <c r="AQ8" s="336"/>
      <c r="AR8" s="336"/>
      <c r="AS8" s="336"/>
      <c r="AT8" s="336"/>
      <c r="AU8" s="336"/>
      <c r="AV8" s="336"/>
      <c r="AW8" s="336"/>
      <c r="AX8" s="336"/>
      <c r="AY8" s="336"/>
      <c r="AZ8" s="336"/>
      <c r="BA8" s="336"/>
      <c r="BB8" s="336"/>
      <c r="BC8" s="336"/>
      <c r="BD8" s="336"/>
      <c r="BE8" s="336"/>
      <c r="BF8" s="336"/>
      <c r="BG8" s="336"/>
      <c r="BH8" s="336"/>
      <c r="BI8" s="336"/>
      <c r="BJ8" s="336"/>
      <c r="BK8" s="336"/>
      <c r="BL8" s="336"/>
      <c r="BM8" s="336"/>
      <c r="BN8" s="336"/>
      <c r="BO8" s="336"/>
      <c r="BP8" s="336"/>
      <c r="BQ8" s="336"/>
      <c r="BR8" s="336"/>
      <c r="BS8" s="336"/>
      <c r="BT8" s="336"/>
      <c r="BU8" s="336"/>
      <c r="BV8" s="336"/>
      <c r="BW8" s="336"/>
      <c r="BX8" s="336"/>
      <c r="BY8" s="336"/>
      <c r="BZ8" s="336"/>
      <c r="CA8" s="336"/>
      <c r="CB8" s="336"/>
      <c r="CC8" s="336"/>
      <c r="CD8" s="336"/>
      <c r="CE8" s="336"/>
      <c r="CF8" s="336"/>
      <c r="CG8" s="336"/>
      <c r="CH8" s="336"/>
      <c r="CI8" s="336"/>
      <c r="CJ8" s="336"/>
      <c r="CK8" s="336"/>
      <c r="CL8" s="336"/>
      <c r="CM8" s="336"/>
      <c r="CN8" s="336"/>
      <c r="CO8" s="336"/>
      <c r="CP8" s="336"/>
      <c r="CQ8" s="336"/>
      <c r="CR8" s="336"/>
      <c r="CS8" s="336"/>
      <c r="CT8" s="336"/>
      <c r="CU8" s="336"/>
      <c r="CV8" s="336"/>
      <c r="CW8" s="336"/>
      <c r="CX8" s="336"/>
      <c r="CY8" s="336"/>
      <c r="CZ8" s="336"/>
      <c r="DA8" s="336"/>
      <c r="DB8" s="336"/>
      <c r="DC8" s="336"/>
      <c r="DD8" s="336"/>
      <c r="DE8" s="336"/>
      <c r="DF8" s="336"/>
      <c r="DG8" s="336"/>
      <c r="DH8" s="336"/>
      <c r="DI8" s="336"/>
      <c r="DJ8" s="336"/>
      <c r="DK8" s="336"/>
      <c r="DL8" s="336"/>
      <c r="DM8" s="336"/>
      <c r="DN8" s="336"/>
      <c r="DO8" s="336"/>
      <c r="DP8" s="336"/>
      <c r="DQ8" s="336"/>
      <c r="DR8" s="336"/>
      <c r="DS8" s="336"/>
      <c r="DT8" s="336"/>
      <c r="DU8" s="336"/>
      <c r="DV8" s="336"/>
      <c r="DW8" s="336"/>
      <c r="DX8" s="336"/>
      <c r="DY8" s="336"/>
      <c r="DZ8" s="313"/>
      <c r="EA8" s="313"/>
      <c r="EB8" s="313"/>
      <c r="EC8" s="313"/>
      <c r="ED8" s="313"/>
      <c r="EE8" s="313"/>
      <c r="EF8" s="313"/>
      <c r="EG8" s="313"/>
      <c r="EH8" s="313"/>
      <c r="EI8" s="313"/>
      <c r="EJ8" s="313"/>
      <c r="EK8" s="313"/>
      <c r="EL8" s="313"/>
      <c r="EM8" s="313"/>
      <c r="EN8" s="313"/>
      <c r="EO8" s="313"/>
      <c r="EP8" s="313"/>
      <c r="EQ8" s="313"/>
      <c r="ER8" s="313"/>
      <c r="ES8" s="313"/>
      <c r="ET8" s="313"/>
      <c r="EU8" s="313"/>
      <c r="EV8" s="313"/>
      <c r="EW8" s="313"/>
      <c r="EX8" s="313"/>
      <c r="EY8" s="313"/>
      <c r="EZ8" s="313"/>
      <c r="FA8" s="313"/>
      <c r="FB8" s="313"/>
      <c r="FC8" s="313"/>
      <c r="FD8" s="313"/>
      <c r="FE8" s="313"/>
      <c r="FF8" s="313"/>
      <c r="FG8" s="313"/>
      <c r="FH8" s="313"/>
      <c r="FI8" s="313"/>
      <c r="FJ8" s="313"/>
      <c r="FK8" s="313"/>
      <c r="FL8" s="313"/>
      <c r="FM8" s="313"/>
      <c r="FN8" s="313"/>
      <c r="FO8" s="313"/>
      <c r="FP8" s="313"/>
      <c r="FQ8" s="313"/>
      <c r="FR8" s="313"/>
      <c r="FS8" s="313"/>
      <c r="FT8" s="313"/>
      <c r="FU8" s="313"/>
      <c r="FV8" s="313"/>
      <c r="FW8" s="313"/>
      <c r="FX8" s="313"/>
      <c r="FY8" s="313"/>
      <c r="FZ8" s="313"/>
      <c r="GA8" s="313"/>
      <c r="GB8" s="313"/>
      <c r="GC8" s="313"/>
      <c r="GD8" s="313"/>
      <c r="GG8" s="484"/>
      <c r="GH8" s="333" t="str">
        <f t="shared" ref="GH8" si="0">IF(G8&lt;10,"0",IF(G8=10,"2",GL8))</f>
        <v>0</v>
      </c>
      <c r="GI8" s="457"/>
      <c r="GJ8" s="456">
        <f t="shared" ref="GJ8" si="1">+G8-10</f>
        <v>-10</v>
      </c>
      <c r="GK8" s="457">
        <f t="shared" ref="GK8" si="2">+(GJ8*0.5)+2</f>
        <v>-3</v>
      </c>
      <c r="GL8" s="486" t="str">
        <f>IF(GK8&gt;10,"10",IF(GK8&lt;0,"0",GK8))</f>
        <v>0</v>
      </c>
      <c r="GM8" s="483"/>
      <c r="GN8" s="315"/>
      <c r="GO8" s="315"/>
    </row>
    <row r="9" spans="1:197" ht="78.75" customHeight="1" x14ac:dyDescent="0.25">
      <c r="A9" s="334">
        <v>4</v>
      </c>
      <c r="B9" s="847" t="s">
        <v>180</v>
      </c>
      <c r="C9" s="848"/>
      <c r="D9" s="849"/>
      <c r="E9" s="850" t="s">
        <v>978</v>
      </c>
      <c r="F9" s="851"/>
      <c r="G9" s="852"/>
      <c r="H9" s="312">
        <v>10</v>
      </c>
      <c r="I9" s="276"/>
      <c r="K9" s="316"/>
      <c r="L9" s="316"/>
      <c r="M9" s="316"/>
      <c r="N9" s="316"/>
      <c r="O9" s="316"/>
      <c r="P9" s="316"/>
      <c r="Q9" s="316"/>
      <c r="R9" s="316"/>
      <c r="S9" s="316"/>
      <c r="T9" s="316"/>
      <c r="U9" s="316"/>
      <c r="V9" s="316"/>
      <c r="W9" s="316"/>
      <c r="X9" s="316"/>
      <c r="Y9" s="316"/>
      <c r="Z9" s="316"/>
      <c r="AA9" s="316"/>
      <c r="AB9" s="316"/>
      <c r="AC9" s="316"/>
      <c r="AD9" s="316"/>
      <c r="AE9" s="316"/>
      <c r="AF9" s="316"/>
      <c r="AG9" s="316"/>
      <c r="AH9" s="316"/>
      <c r="AI9" s="316"/>
      <c r="AJ9" s="316"/>
      <c r="AK9" s="316"/>
      <c r="AL9" s="316"/>
      <c r="AM9" s="316"/>
      <c r="AN9" s="316"/>
      <c r="AO9" s="316"/>
      <c r="AP9" s="316"/>
      <c r="AQ9" s="316"/>
      <c r="AR9" s="316"/>
      <c r="AS9" s="316"/>
      <c r="AT9" s="316"/>
      <c r="AU9" s="316"/>
      <c r="AV9" s="316"/>
      <c r="AW9" s="316"/>
      <c r="AX9" s="316"/>
      <c r="AY9" s="316"/>
      <c r="AZ9" s="316"/>
      <c r="BA9" s="316"/>
      <c r="BB9" s="316"/>
      <c r="BC9" s="316"/>
      <c r="BD9" s="316"/>
      <c r="BE9" s="316"/>
      <c r="BF9" s="316"/>
      <c r="BG9" s="316"/>
      <c r="BH9" s="316"/>
      <c r="BI9" s="316"/>
      <c r="BJ9" s="316"/>
      <c r="BK9" s="316"/>
      <c r="BL9" s="316"/>
      <c r="BM9" s="316"/>
      <c r="BN9" s="316"/>
      <c r="BO9" s="316"/>
      <c r="BP9" s="316"/>
      <c r="BQ9" s="316"/>
      <c r="BR9" s="316"/>
      <c r="BS9" s="316"/>
      <c r="BT9" s="316"/>
      <c r="BU9" s="316"/>
      <c r="BV9" s="316"/>
      <c r="BW9" s="316"/>
      <c r="BX9" s="316"/>
      <c r="BY9" s="316"/>
      <c r="BZ9" s="316"/>
      <c r="CA9" s="316"/>
      <c r="CB9" s="316"/>
      <c r="CC9" s="316"/>
      <c r="CD9" s="316"/>
      <c r="CE9" s="316"/>
      <c r="CF9" s="316"/>
      <c r="CG9" s="316"/>
      <c r="CH9" s="316"/>
      <c r="CI9" s="316"/>
      <c r="CJ9" s="316"/>
      <c r="CK9" s="316"/>
      <c r="CL9" s="316"/>
      <c r="CM9" s="316"/>
      <c r="CN9" s="316"/>
      <c r="CO9" s="316"/>
      <c r="CP9" s="316"/>
      <c r="CQ9" s="316"/>
      <c r="CR9" s="316"/>
      <c r="CS9" s="316"/>
      <c r="CT9" s="316"/>
      <c r="CU9" s="316"/>
      <c r="CV9" s="316"/>
      <c r="CW9" s="316"/>
      <c r="CX9" s="316"/>
      <c r="CY9" s="316"/>
      <c r="CZ9" s="316"/>
      <c r="DA9" s="316"/>
      <c r="DB9" s="316"/>
      <c r="DC9" s="316"/>
      <c r="DD9" s="316"/>
      <c r="DE9" s="316"/>
      <c r="DF9" s="316"/>
      <c r="DG9" s="316"/>
      <c r="DH9" s="316"/>
      <c r="DI9" s="316"/>
      <c r="DJ9" s="316"/>
      <c r="DK9" s="316"/>
      <c r="DL9" s="316"/>
      <c r="DM9" s="316"/>
      <c r="DN9" s="316"/>
      <c r="DO9" s="316"/>
      <c r="DP9" s="316"/>
      <c r="DQ9" s="316"/>
      <c r="DR9" s="316"/>
      <c r="DS9" s="316"/>
      <c r="DT9" s="317"/>
      <c r="DU9" s="317"/>
      <c r="GH9" s="384"/>
      <c r="GI9" s="384"/>
      <c r="GJ9" s="384"/>
      <c r="GK9" s="315"/>
      <c r="GL9" s="315"/>
      <c r="GM9" s="314"/>
      <c r="GN9" s="315"/>
      <c r="GO9" s="315"/>
    </row>
    <row r="10" spans="1:197" ht="69.599999999999994" customHeight="1" x14ac:dyDescent="0.25">
      <c r="A10" s="244">
        <v>5</v>
      </c>
      <c r="B10" s="847" t="s">
        <v>904</v>
      </c>
      <c r="C10" s="848"/>
      <c r="D10" s="849"/>
      <c r="E10" s="853" t="s">
        <v>905</v>
      </c>
      <c r="F10" s="854"/>
      <c r="G10" s="852"/>
      <c r="H10" s="312">
        <v>5</v>
      </c>
      <c r="I10" s="208" t="str">
        <f>IF('PAS 2 calc prod stand'!I56&lt;25000,"0",IF('PAS 2 calc prod stand'!I56&gt;100000,"0",IF('PAS 2 calc prod stand'!I56&gt;50001,"3","5")))</f>
        <v>0</v>
      </c>
      <c r="K10" s="316"/>
      <c r="L10" s="316"/>
      <c r="M10" s="316"/>
      <c r="N10" s="316"/>
      <c r="O10" s="316"/>
      <c r="P10" s="316"/>
      <c r="Q10" s="316"/>
      <c r="R10" s="316"/>
      <c r="S10" s="316"/>
      <c r="T10" s="316"/>
      <c r="U10" s="316"/>
      <c r="V10" s="316"/>
      <c r="W10" s="316"/>
      <c r="X10" s="316"/>
      <c r="Y10" s="316"/>
      <c r="Z10" s="316"/>
      <c r="AA10" s="316"/>
      <c r="AB10" s="316"/>
      <c r="AC10" s="316"/>
      <c r="AD10" s="316"/>
      <c r="AE10" s="316"/>
      <c r="AF10" s="316"/>
      <c r="AG10" s="316"/>
      <c r="AH10" s="316"/>
      <c r="AI10" s="316"/>
      <c r="AJ10" s="316"/>
      <c r="AK10" s="316"/>
      <c r="AL10" s="316"/>
      <c r="AM10" s="316"/>
      <c r="AN10" s="316"/>
      <c r="AO10" s="316"/>
      <c r="AP10" s="316"/>
      <c r="AQ10" s="316"/>
      <c r="AR10" s="316"/>
      <c r="AS10" s="316"/>
      <c r="AT10" s="316"/>
      <c r="AU10" s="316"/>
      <c r="AV10" s="316"/>
      <c r="AW10" s="316"/>
      <c r="AX10" s="316"/>
      <c r="AY10" s="316"/>
      <c r="AZ10" s="316"/>
      <c r="BA10" s="316"/>
      <c r="BB10" s="316"/>
      <c r="BC10" s="316"/>
      <c r="BD10" s="316"/>
      <c r="BE10" s="316"/>
      <c r="BF10" s="316"/>
      <c r="BG10" s="316"/>
      <c r="BH10" s="316"/>
      <c r="BI10" s="316"/>
      <c r="BJ10" s="316"/>
      <c r="BK10" s="316"/>
      <c r="BL10" s="316"/>
      <c r="BM10" s="316"/>
      <c r="BN10" s="316"/>
      <c r="BO10" s="316"/>
      <c r="BP10" s="316"/>
      <c r="BQ10" s="316"/>
      <c r="BR10" s="316"/>
      <c r="BS10" s="316"/>
      <c r="BT10" s="316"/>
      <c r="BU10" s="316"/>
      <c r="BV10" s="316"/>
      <c r="BW10" s="316"/>
      <c r="BX10" s="316"/>
      <c r="BY10" s="316"/>
      <c r="BZ10" s="316"/>
      <c r="CA10" s="316"/>
      <c r="CB10" s="316"/>
      <c r="CC10" s="316"/>
      <c r="CD10" s="316"/>
      <c r="CE10" s="316"/>
      <c r="CF10" s="316"/>
      <c r="CG10" s="316"/>
      <c r="CH10" s="316"/>
      <c r="CI10" s="316"/>
      <c r="CJ10" s="316"/>
      <c r="CK10" s="316"/>
      <c r="CL10" s="316"/>
      <c r="CM10" s="316"/>
      <c r="CN10" s="316"/>
      <c r="CO10" s="316"/>
      <c r="CP10" s="316"/>
      <c r="CQ10" s="316"/>
      <c r="CR10" s="316"/>
      <c r="CS10" s="316"/>
      <c r="CT10" s="316"/>
      <c r="CU10" s="316"/>
      <c r="CV10" s="316"/>
      <c r="CW10" s="316"/>
      <c r="CX10" s="316"/>
      <c r="CY10" s="316"/>
      <c r="CZ10" s="316"/>
      <c r="DA10" s="316"/>
      <c r="DB10" s="316"/>
      <c r="DC10" s="316"/>
      <c r="DD10" s="316"/>
      <c r="DE10" s="316"/>
      <c r="DF10" s="316"/>
      <c r="DG10" s="316"/>
      <c r="DH10" s="316"/>
      <c r="DI10" s="316"/>
      <c r="DJ10" s="316"/>
      <c r="DK10" s="316"/>
      <c r="DL10" s="316"/>
      <c r="DM10" s="316"/>
      <c r="DN10" s="316"/>
      <c r="DO10" s="316"/>
      <c r="DP10" s="316"/>
      <c r="DQ10" s="316"/>
      <c r="DR10" s="316"/>
      <c r="DS10" s="316"/>
      <c r="DT10" s="317"/>
      <c r="DU10" s="317"/>
      <c r="GH10" s="385">
        <f>+'[1]PAS 2 calc prod stand'!I56</f>
        <v>0</v>
      </c>
      <c r="GI10" s="386"/>
      <c r="GJ10" s="384"/>
      <c r="GK10" s="315"/>
      <c r="GL10" s="315"/>
      <c r="GM10" s="314"/>
      <c r="GN10" s="315"/>
      <c r="GO10" s="315"/>
    </row>
    <row r="11" spans="1:197" ht="28.2" customHeight="1" x14ac:dyDescent="0.25">
      <c r="B11" s="805" t="s">
        <v>906</v>
      </c>
      <c r="C11" s="806"/>
      <c r="D11" s="807"/>
      <c r="E11" s="858" t="s">
        <v>1203</v>
      </c>
      <c r="F11" s="416" t="s">
        <v>1201</v>
      </c>
      <c r="G11" s="403" t="s">
        <v>1202</v>
      </c>
      <c r="H11" s="808">
        <v>2</v>
      </c>
      <c r="I11" s="822">
        <f>IF(GI13&gt;2,"2",MROUND(GI13,0.5))</f>
        <v>0</v>
      </c>
      <c r="K11" s="316"/>
      <c r="L11" s="316"/>
      <c r="M11" s="316"/>
      <c r="N11" s="316"/>
      <c r="O11" s="316"/>
      <c r="P11" s="316"/>
      <c r="Q11" s="316"/>
      <c r="R11" s="316"/>
      <c r="S11" s="316"/>
      <c r="T11" s="316"/>
      <c r="U11" s="316"/>
      <c r="V11" s="316"/>
      <c r="W11" s="316"/>
      <c r="X11" s="316"/>
      <c r="Y11" s="316"/>
      <c r="Z11" s="316"/>
      <c r="AA11" s="316"/>
      <c r="AB11" s="316"/>
      <c r="AC11" s="316"/>
      <c r="AD11" s="316"/>
      <c r="AE11" s="316"/>
      <c r="AF11" s="316"/>
      <c r="AG11" s="316"/>
      <c r="AH11" s="316"/>
      <c r="AI11" s="316"/>
      <c r="AJ11" s="316"/>
      <c r="AK11" s="316"/>
      <c r="AL11" s="316"/>
      <c r="AM11" s="316"/>
      <c r="AN11" s="316"/>
      <c r="AO11" s="316"/>
      <c r="AP11" s="316"/>
      <c r="AQ11" s="316"/>
      <c r="AR11" s="316"/>
      <c r="AS11" s="316"/>
      <c r="AT11" s="316"/>
      <c r="AU11" s="316"/>
      <c r="AV11" s="316"/>
      <c r="AW11" s="316"/>
      <c r="AX11" s="316"/>
      <c r="AY11" s="316"/>
      <c r="AZ11" s="316"/>
      <c r="BA11" s="316"/>
      <c r="BB11" s="316"/>
      <c r="BC11" s="316"/>
      <c r="BD11" s="316"/>
      <c r="BE11" s="316"/>
      <c r="BF11" s="316"/>
      <c r="BG11" s="316"/>
      <c r="BH11" s="316"/>
      <c r="BI11" s="316"/>
      <c r="BJ11" s="316"/>
      <c r="BK11" s="316"/>
      <c r="BL11" s="316"/>
      <c r="BM11" s="316"/>
      <c r="BN11" s="316"/>
      <c r="BO11" s="316"/>
      <c r="BP11" s="316"/>
      <c r="BQ11" s="316"/>
      <c r="BR11" s="316"/>
      <c r="BS11" s="316"/>
      <c r="BT11" s="316"/>
      <c r="BU11" s="316"/>
      <c r="BV11" s="316"/>
      <c r="BW11" s="316"/>
      <c r="BX11" s="316"/>
      <c r="BY11" s="316"/>
      <c r="BZ11" s="316"/>
      <c r="CA11" s="316"/>
      <c r="CB11" s="316"/>
      <c r="CC11" s="316"/>
      <c r="CD11" s="316"/>
      <c r="CE11" s="316"/>
      <c r="CF11" s="316"/>
      <c r="CG11" s="316"/>
      <c r="CH11" s="316"/>
      <c r="CI11" s="316"/>
      <c r="CJ11" s="316"/>
      <c r="CK11" s="316"/>
      <c r="CL11" s="316"/>
      <c r="CM11" s="316"/>
      <c r="CN11" s="316"/>
      <c r="CO11" s="316"/>
      <c r="CP11" s="316"/>
      <c r="CQ11" s="316"/>
      <c r="CR11" s="316"/>
      <c r="CS11" s="316"/>
      <c r="CT11" s="316"/>
      <c r="CU11" s="316"/>
      <c r="CV11" s="316"/>
      <c r="CW11" s="316"/>
      <c r="CX11" s="316"/>
      <c r="CY11" s="316"/>
      <c r="CZ11" s="316"/>
      <c r="DA11" s="316"/>
      <c r="DB11" s="316"/>
      <c r="DC11" s="316"/>
      <c r="DD11" s="316"/>
      <c r="DE11" s="316"/>
      <c r="DF11" s="316"/>
      <c r="DG11" s="316"/>
      <c r="DH11" s="316"/>
      <c r="DI11" s="316"/>
      <c r="DJ11" s="316"/>
      <c r="DK11" s="316"/>
      <c r="DL11" s="316"/>
      <c r="DM11" s="316"/>
      <c r="DN11" s="316"/>
      <c r="DO11" s="316"/>
      <c r="DP11" s="316"/>
      <c r="DQ11" s="316"/>
      <c r="DR11" s="316"/>
      <c r="DS11" s="316"/>
      <c r="DT11" s="317"/>
      <c r="DU11" s="317"/>
      <c r="GH11" s="385"/>
      <c r="GI11" s="386"/>
      <c r="GJ11" s="384"/>
      <c r="GK11" s="315"/>
      <c r="GL11" s="315"/>
      <c r="GM11" s="314"/>
      <c r="GN11" s="315"/>
      <c r="GO11" s="315"/>
    </row>
    <row r="12" spans="1:197" ht="28.2" customHeight="1" x14ac:dyDescent="0.25">
      <c r="B12" s="855"/>
      <c r="C12" s="856"/>
      <c r="D12" s="857"/>
      <c r="E12" s="859"/>
      <c r="F12" s="417"/>
      <c r="G12" s="419" t="str">
        <f>IFERROR(F12*100/$D$15,"0")</f>
        <v>0</v>
      </c>
      <c r="H12" s="875"/>
      <c r="I12" s="823"/>
      <c r="K12" s="316"/>
      <c r="L12" s="316"/>
      <c r="M12" s="316"/>
      <c r="N12" s="316"/>
      <c r="O12" s="316"/>
      <c r="P12" s="316"/>
      <c r="Q12" s="316"/>
      <c r="R12" s="316"/>
      <c r="S12" s="316"/>
      <c r="T12" s="316"/>
      <c r="U12" s="316"/>
      <c r="V12" s="316"/>
      <c r="W12" s="316"/>
      <c r="X12" s="316"/>
      <c r="Y12" s="316"/>
      <c r="Z12" s="316"/>
      <c r="AA12" s="316"/>
      <c r="AB12" s="316"/>
      <c r="AC12" s="316"/>
      <c r="AD12" s="316"/>
      <c r="AE12" s="316"/>
      <c r="AF12" s="316"/>
      <c r="AG12" s="316"/>
      <c r="AH12" s="316"/>
      <c r="AI12" s="316"/>
      <c r="AJ12" s="316"/>
      <c r="AK12" s="316"/>
      <c r="AL12" s="316"/>
      <c r="AM12" s="316"/>
      <c r="AN12" s="316"/>
      <c r="AO12" s="316"/>
      <c r="AP12" s="316"/>
      <c r="AQ12" s="316"/>
      <c r="AR12" s="316"/>
      <c r="AS12" s="316"/>
      <c r="AT12" s="316"/>
      <c r="AU12" s="316"/>
      <c r="AV12" s="316"/>
      <c r="AW12" s="316"/>
      <c r="AX12" s="316"/>
      <c r="AY12" s="316"/>
      <c r="AZ12" s="316"/>
      <c r="BA12" s="316"/>
      <c r="BB12" s="316"/>
      <c r="BC12" s="316"/>
      <c r="BD12" s="316"/>
      <c r="BE12" s="316"/>
      <c r="BF12" s="316"/>
      <c r="BG12" s="316"/>
      <c r="BH12" s="316"/>
      <c r="BI12" s="316"/>
      <c r="BJ12" s="316"/>
      <c r="BK12" s="316"/>
      <c r="BL12" s="316"/>
      <c r="BM12" s="316"/>
      <c r="BN12" s="316"/>
      <c r="BO12" s="316"/>
      <c r="BP12" s="316"/>
      <c r="BQ12" s="316"/>
      <c r="BR12" s="316"/>
      <c r="BS12" s="316"/>
      <c r="BT12" s="316"/>
      <c r="BU12" s="316"/>
      <c r="BV12" s="316"/>
      <c r="BW12" s="316"/>
      <c r="BX12" s="316"/>
      <c r="BY12" s="316"/>
      <c r="BZ12" s="316"/>
      <c r="CA12" s="316"/>
      <c r="CB12" s="316"/>
      <c r="CC12" s="316"/>
      <c r="CD12" s="316"/>
      <c r="CE12" s="316"/>
      <c r="CF12" s="316"/>
      <c r="CG12" s="316"/>
      <c r="CH12" s="316"/>
      <c r="CI12" s="316"/>
      <c r="CJ12" s="316"/>
      <c r="CK12" s="316"/>
      <c r="CL12" s="316"/>
      <c r="CM12" s="316"/>
      <c r="CN12" s="316"/>
      <c r="CO12" s="316"/>
      <c r="CP12" s="316"/>
      <c r="CQ12" s="316"/>
      <c r="CR12" s="316"/>
      <c r="CS12" s="316"/>
      <c r="CT12" s="316"/>
      <c r="CU12" s="316"/>
      <c r="CV12" s="316"/>
      <c r="CW12" s="316"/>
      <c r="CX12" s="316"/>
      <c r="CY12" s="316"/>
      <c r="CZ12" s="316"/>
      <c r="DA12" s="316"/>
      <c r="DB12" s="316"/>
      <c r="DC12" s="316"/>
      <c r="DD12" s="316"/>
      <c r="DE12" s="316"/>
      <c r="DF12" s="316"/>
      <c r="DG12" s="316"/>
      <c r="DH12" s="316"/>
      <c r="DI12" s="316"/>
      <c r="DJ12" s="316"/>
      <c r="DK12" s="316"/>
      <c r="DL12" s="316"/>
      <c r="DM12" s="316"/>
      <c r="DN12" s="316"/>
      <c r="DO12" s="316"/>
      <c r="DP12" s="316"/>
      <c r="DQ12" s="316"/>
      <c r="DR12" s="316"/>
      <c r="DS12" s="316"/>
      <c r="DT12" s="317"/>
      <c r="DU12" s="317"/>
      <c r="GH12" s="420" t="str">
        <f>+G12</f>
        <v>0</v>
      </c>
      <c r="GI12" s="386"/>
      <c r="GJ12" s="384"/>
      <c r="GK12" s="315"/>
      <c r="GL12" s="315"/>
      <c r="GM12" s="314"/>
      <c r="GN12" s="315"/>
      <c r="GO12" s="315"/>
    </row>
    <row r="13" spans="1:197" ht="28.2" customHeight="1" x14ac:dyDescent="0.25">
      <c r="A13" s="244">
        <v>6</v>
      </c>
      <c r="B13" s="802"/>
      <c r="C13" s="803"/>
      <c r="D13" s="804"/>
      <c r="E13" s="860"/>
      <c r="F13" s="418"/>
      <c r="G13" s="419" t="str">
        <f>IFERROR(F13*100/$D$15,"0")</f>
        <v>0</v>
      </c>
      <c r="H13" s="809"/>
      <c r="I13" s="824"/>
      <c r="K13" s="316"/>
      <c r="L13" s="316"/>
      <c r="M13" s="316"/>
      <c r="N13" s="316"/>
      <c r="O13" s="316"/>
      <c r="P13" s="316"/>
      <c r="Q13" s="316"/>
      <c r="R13" s="316"/>
      <c r="S13" s="316"/>
      <c r="T13" s="316"/>
      <c r="U13" s="316"/>
      <c r="V13" s="316"/>
      <c r="W13" s="316"/>
      <c r="X13" s="316"/>
      <c r="Y13" s="316"/>
      <c r="Z13" s="316"/>
      <c r="AA13" s="316"/>
      <c r="AB13" s="316"/>
      <c r="AC13" s="316"/>
      <c r="AD13" s="316"/>
      <c r="AE13" s="316"/>
      <c r="AF13" s="316"/>
      <c r="AG13" s="316"/>
      <c r="AH13" s="316"/>
      <c r="AI13" s="316"/>
      <c r="AJ13" s="316"/>
      <c r="AK13" s="316"/>
      <c r="AL13" s="316"/>
      <c r="AM13" s="316"/>
      <c r="AN13" s="316"/>
      <c r="AO13" s="316"/>
      <c r="AP13" s="316"/>
      <c r="AQ13" s="316"/>
      <c r="AR13" s="316"/>
      <c r="AS13" s="316"/>
      <c r="AT13" s="316"/>
      <c r="AU13" s="316"/>
      <c r="AV13" s="316"/>
      <c r="AW13" s="316"/>
      <c r="AX13" s="316"/>
      <c r="AY13" s="316"/>
      <c r="AZ13" s="316"/>
      <c r="BA13" s="316"/>
      <c r="BB13" s="316"/>
      <c r="BC13" s="316"/>
      <c r="BD13" s="316"/>
      <c r="BE13" s="316"/>
      <c r="BF13" s="316"/>
      <c r="BG13" s="316"/>
      <c r="BH13" s="316"/>
      <c r="BI13" s="316"/>
      <c r="BJ13" s="316"/>
      <c r="BK13" s="316"/>
      <c r="BL13" s="316"/>
      <c r="BM13" s="316"/>
      <c r="BN13" s="316"/>
      <c r="BO13" s="316"/>
      <c r="BP13" s="316"/>
      <c r="BQ13" s="316"/>
      <c r="BR13" s="316"/>
      <c r="BS13" s="316"/>
      <c r="BT13" s="316"/>
      <c r="BU13" s="316"/>
      <c r="BV13" s="316"/>
      <c r="BW13" s="316"/>
      <c r="BX13" s="316"/>
      <c r="BY13" s="316"/>
      <c r="BZ13" s="316"/>
      <c r="CA13" s="316"/>
      <c r="CB13" s="316"/>
      <c r="CC13" s="316"/>
      <c r="CD13" s="316"/>
      <c r="CE13" s="316"/>
      <c r="CF13" s="316"/>
      <c r="CG13" s="316"/>
      <c r="CH13" s="316"/>
      <c r="CI13" s="316"/>
      <c r="CJ13" s="316"/>
      <c r="CK13" s="316"/>
      <c r="CL13" s="316"/>
      <c r="CM13" s="316"/>
      <c r="CN13" s="316"/>
      <c r="CO13" s="316"/>
      <c r="CP13" s="316"/>
      <c r="CQ13" s="316"/>
      <c r="CR13" s="316"/>
      <c r="CS13" s="316"/>
      <c r="CT13" s="316"/>
      <c r="CU13" s="316"/>
      <c r="CV13" s="316"/>
      <c r="CW13" s="316"/>
      <c r="CX13" s="316"/>
      <c r="CY13" s="316"/>
      <c r="CZ13" s="316"/>
      <c r="DA13" s="316"/>
      <c r="DB13" s="316"/>
      <c r="DC13" s="316"/>
      <c r="DD13" s="316"/>
      <c r="DE13" s="316"/>
      <c r="DF13" s="316"/>
      <c r="DG13" s="316"/>
      <c r="DH13" s="316"/>
      <c r="DI13" s="316"/>
      <c r="DJ13" s="316"/>
      <c r="DK13" s="316"/>
      <c r="DL13" s="316"/>
      <c r="DM13" s="316"/>
      <c r="DN13" s="316"/>
      <c r="DO13" s="316"/>
      <c r="DP13" s="316"/>
      <c r="DQ13" s="316"/>
      <c r="DR13" s="316"/>
      <c r="DS13" s="316"/>
      <c r="DT13" s="317"/>
      <c r="DU13" s="317"/>
      <c r="GH13" s="420" t="str">
        <f>+G13</f>
        <v>0</v>
      </c>
      <c r="GI13" s="387">
        <f>MROUND((+GH13+GH12),0.5)</f>
        <v>0</v>
      </c>
    </row>
    <row r="14" spans="1:197" ht="106.2" customHeight="1" x14ac:dyDescent="0.25">
      <c r="B14" s="805" t="s">
        <v>1186</v>
      </c>
      <c r="C14" s="806"/>
      <c r="D14" s="807"/>
      <c r="E14" s="858" t="s">
        <v>907</v>
      </c>
      <c r="F14" s="883"/>
      <c r="G14" s="876">
        <f>SUM(D18:D26)</f>
        <v>0</v>
      </c>
      <c r="H14" s="879">
        <v>28</v>
      </c>
      <c r="I14" s="822">
        <f>+GH26</f>
        <v>0</v>
      </c>
      <c r="K14" s="316"/>
      <c r="L14" s="316"/>
      <c r="M14" s="316"/>
      <c r="N14" s="316"/>
      <c r="O14" s="316"/>
      <c r="P14" s="316"/>
      <c r="Q14" s="316"/>
      <c r="R14" s="316"/>
      <c r="S14" s="316"/>
      <c r="T14" s="316"/>
      <c r="U14" s="316"/>
      <c r="V14" s="316"/>
      <c r="W14" s="316"/>
      <c r="X14" s="316"/>
      <c r="Y14" s="316"/>
      <c r="Z14" s="316"/>
      <c r="AA14" s="316"/>
      <c r="AB14" s="316"/>
      <c r="AC14" s="316"/>
      <c r="AD14" s="316"/>
      <c r="AE14" s="316"/>
      <c r="AF14" s="316"/>
      <c r="AG14" s="316"/>
      <c r="AH14" s="316"/>
      <c r="AI14" s="316"/>
      <c r="AJ14" s="316"/>
      <c r="AK14" s="316"/>
      <c r="AL14" s="316"/>
      <c r="AM14" s="316"/>
      <c r="AN14" s="316"/>
      <c r="AO14" s="316"/>
      <c r="AP14" s="316"/>
      <c r="AQ14" s="316"/>
      <c r="AR14" s="316"/>
      <c r="AS14" s="316"/>
      <c r="AT14" s="316"/>
      <c r="AU14" s="316"/>
      <c r="AV14" s="316"/>
      <c r="AW14" s="316"/>
      <c r="AX14" s="316"/>
      <c r="AY14" s="316"/>
      <c r="AZ14" s="316"/>
      <c r="BA14" s="316"/>
      <c r="BB14" s="316"/>
      <c r="BC14" s="316"/>
      <c r="BD14" s="316"/>
      <c r="BE14" s="316"/>
      <c r="BF14" s="316"/>
      <c r="BG14" s="316"/>
      <c r="BH14" s="316"/>
      <c r="BI14" s="316"/>
      <c r="BJ14" s="316"/>
      <c r="BK14" s="316"/>
      <c r="BL14" s="316"/>
      <c r="BM14" s="316"/>
      <c r="BN14" s="316"/>
      <c r="BO14" s="316"/>
      <c r="BP14" s="316"/>
      <c r="BQ14" s="316"/>
      <c r="BR14" s="316"/>
      <c r="BS14" s="316"/>
      <c r="BT14" s="316"/>
      <c r="BU14" s="316"/>
      <c r="BV14" s="316"/>
      <c r="BW14" s="316"/>
      <c r="BX14" s="316"/>
      <c r="BY14" s="316"/>
      <c r="BZ14" s="316"/>
      <c r="CA14" s="316"/>
      <c r="CB14" s="316"/>
      <c r="CC14" s="316"/>
      <c r="CD14" s="316"/>
      <c r="CE14" s="316"/>
      <c r="CF14" s="316"/>
      <c r="CG14" s="316"/>
      <c r="CH14" s="316"/>
      <c r="CI14" s="316"/>
      <c r="CJ14" s="316"/>
      <c r="CK14" s="316"/>
      <c r="CL14" s="316"/>
      <c r="CM14" s="316"/>
      <c r="CN14" s="316"/>
      <c r="CO14" s="316"/>
      <c r="CP14" s="316"/>
      <c r="CQ14" s="316"/>
      <c r="CR14" s="316"/>
      <c r="CS14" s="316"/>
      <c r="CT14" s="316"/>
      <c r="CU14" s="316"/>
      <c r="CV14" s="316"/>
      <c r="CW14" s="316"/>
      <c r="CX14" s="316"/>
      <c r="CY14" s="316"/>
      <c r="CZ14" s="316"/>
      <c r="DA14" s="316"/>
      <c r="DB14" s="316"/>
      <c r="DC14" s="316"/>
      <c r="DD14" s="316"/>
      <c r="DE14" s="316"/>
      <c r="DF14" s="316"/>
      <c r="DG14" s="316"/>
      <c r="DH14" s="316"/>
      <c r="DI14" s="316"/>
      <c r="DJ14" s="316"/>
      <c r="DK14" s="316"/>
      <c r="DL14" s="316"/>
      <c r="DM14" s="316"/>
      <c r="DN14" s="316"/>
      <c r="DO14" s="316"/>
      <c r="DP14" s="316"/>
      <c r="DQ14" s="316"/>
      <c r="DR14" s="316"/>
      <c r="DS14" s="316"/>
      <c r="DT14" s="317"/>
      <c r="DU14" s="317"/>
      <c r="GH14" s="387"/>
      <c r="GI14" s="387"/>
    </row>
    <row r="15" spans="1:197" ht="13.2" customHeight="1" x14ac:dyDescent="0.25">
      <c r="B15" s="881" t="s">
        <v>1199</v>
      </c>
      <c r="C15" s="882"/>
      <c r="D15" s="411">
        <f>+'PAS PACCHETTO 4 invest'!M63</f>
        <v>0</v>
      </c>
      <c r="E15" s="859"/>
      <c r="F15" s="884"/>
      <c r="G15" s="877"/>
      <c r="H15" s="880"/>
      <c r="I15" s="823"/>
      <c r="K15" s="316"/>
      <c r="L15" s="316"/>
      <c r="M15" s="316"/>
      <c r="N15" s="316"/>
      <c r="O15" s="316"/>
      <c r="P15" s="316"/>
      <c r="Q15" s="316"/>
      <c r="R15" s="316"/>
      <c r="S15" s="316"/>
      <c r="T15" s="316"/>
      <c r="U15" s="316"/>
      <c r="V15" s="316"/>
      <c r="W15" s="316"/>
      <c r="X15" s="316"/>
      <c r="Y15" s="316"/>
      <c r="Z15" s="316"/>
      <c r="AA15" s="316"/>
      <c r="AB15" s="316"/>
      <c r="AC15" s="316"/>
      <c r="AD15" s="316"/>
      <c r="AE15" s="316"/>
      <c r="AF15" s="316"/>
      <c r="AG15" s="316"/>
      <c r="AH15" s="316"/>
      <c r="AI15" s="316"/>
      <c r="AJ15" s="316"/>
      <c r="AK15" s="316"/>
      <c r="AL15" s="316"/>
      <c r="AM15" s="316"/>
      <c r="AN15" s="316"/>
      <c r="AO15" s="316"/>
      <c r="AP15" s="316"/>
      <c r="AQ15" s="316"/>
      <c r="AR15" s="316"/>
      <c r="AS15" s="316"/>
      <c r="AT15" s="316"/>
      <c r="AU15" s="316"/>
      <c r="AV15" s="316"/>
      <c r="AW15" s="316"/>
      <c r="AX15" s="316"/>
      <c r="AY15" s="316"/>
      <c r="AZ15" s="316"/>
      <c r="BA15" s="316"/>
      <c r="BB15" s="316"/>
      <c r="BC15" s="316"/>
      <c r="BD15" s="316"/>
      <c r="BE15" s="316"/>
      <c r="BF15" s="316"/>
      <c r="BG15" s="316"/>
      <c r="BH15" s="316"/>
      <c r="BI15" s="316"/>
      <c r="BJ15" s="316"/>
      <c r="BK15" s="316"/>
      <c r="BL15" s="316"/>
      <c r="BM15" s="316"/>
      <c r="BN15" s="316"/>
      <c r="BO15" s="316"/>
      <c r="BP15" s="316"/>
      <c r="BQ15" s="316"/>
      <c r="BR15" s="316"/>
      <c r="BS15" s="316"/>
      <c r="BT15" s="316"/>
      <c r="BU15" s="316"/>
      <c r="BV15" s="316"/>
      <c r="BW15" s="316"/>
      <c r="BX15" s="316"/>
      <c r="BY15" s="316"/>
      <c r="BZ15" s="316"/>
      <c r="CA15" s="316"/>
      <c r="CB15" s="316"/>
      <c r="CC15" s="316"/>
      <c r="CD15" s="316"/>
      <c r="CE15" s="316"/>
      <c r="CF15" s="316"/>
      <c r="CG15" s="316"/>
      <c r="CH15" s="316"/>
      <c r="CI15" s="316"/>
      <c r="CJ15" s="316"/>
      <c r="CK15" s="316"/>
      <c r="CL15" s="316"/>
      <c r="CM15" s="316"/>
      <c r="CN15" s="316"/>
      <c r="CO15" s="316"/>
      <c r="CP15" s="316"/>
      <c r="CQ15" s="316"/>
      <c r="CR15" s="316"/>
      <c r="CS15" s="316"/>
      <c r="CT15" s="316"/>
      <c r="CU15" s="316"/>
      <c r="CV15" s="316"/>
      <c r="CW15" s="316"/>
      <c r="CX15" s="316"/>
      <c r="CY15" s="316"/>
      <c r="CZ15" s="316"/>
      <c r="DA15" s="316"/>
      <c r="DB15" s="316"/>
      <c r="DC15" s="316"/>
      <c r="DD15" s="316"/>
      <c r="DE15" s="316"/>
      <c r="DF15" s="316"/>
      <c r="DG15" s="316"/>
      <c r="DH15" s="316"/>
      <c r="DI15" s="316"/>
      <c r="DJ15" s="316"/>
      <c r="DK15" s="316"/>
      <c r="DL15" s="316"/>
      <c r="DM15" s="316"/>
      <c r="DN15" s="316"/>
      <c r="DO15" s="316"/>
      <c r="DP15" s="316"/>
      <c r="DQ15" s="316"/>
      <c r="DR15" s="316"/>
      <c r="DS15" s="316"/>
      <c r="DT15" s="317"/>
      <c r="DU15" s="317"/>
      <c r="GH15" s="387"/>
      <c r="GI15" s="387"/>
    </row>
    <row r="16" spans="1:197" ht="26.4" customHeight="1" x14ac:dyDescent="0.25">
      <c r="B16" s="412" t="s">
        <v>1200</v>
      </c>
      <c r="C16" s="414">
        <f>SUM(C18:C26)</f>
        <v>0</v>
      </c>
      <c r="D16" s="413" t="str">
        <f>IF(C16&gt;D15,"VERIFICA I DATI IMMESSI","CONFORME")</f>
        <v>CONFORME</v>
      </c>
      <c r="E16" s="859"/>
      <c r="F16" s="884"/>
      <c r="G16" s="877"/>
      <c r="H16" s="880"/>
      <c r="I16" s="823"/>
      <c r="K16" s="316"/>
      <c r="L16" s="316"/>
      <c r="M16" s="316"/>
      <c r="N16" s="316"/>
      <c r="O16" s="316"/>
      <c r="P16" s="316"/>
      <c r="Q16" s="316"/>
      <c r="R16" s="316"/>
      <c r="S16" s="316"/>
      <c r="T16" s="316"/>
      <c r="U16" s="316"/>
      <c r="V16" s="316"/>
      <c r="W16" s="316"/>
      <c r="X16" s="316"/>
      <c r="Y16" s="316"/>
      <c r="Z16" s="316"/>
      <c r="AA16" s="316"/>
      <c r="AB16" s="316"/>
      <c r="AC16" s="316"/>
      <c r="AD16" s="316"/>
      <c r="AE16" s="316"/>
      <c r="AF16" s="316"/>
      <c r="AG16" s="316"/>
      <c r="AH16" s="316"/>
      <c r="AI16" s="316"/>
      <c r="AJ16" s="316"/>
      <c r="AK16" s="316"/>
      <c r="AL16" s="316"/>
      <c r="AM16" s="316"/>
      <c r="AN16" s="316"/>
      <c r="AO16" s="316"/>
      <c r="AP16" s="316"/>
      <c r="AQ16" s="316"/>
      <c r="AR16" s="316"/>
      <c r="AS16" s="316"/>
      <c r="AT16" s="316"/>
      <c r="AU16" s="316"/>
      <c r="AV16" s="316"/>
      <c r="AW16" s="316"/>
      <c r="AX16" s="316"/>
      <c r="AY16" s="316"/>
      <c r="AZ16" s="316"/>
      <c r="BA16" s="316"/>
      <c r="BB16" s="316"/>
      <c r="BC16" s="316"/>
      <c r="BD16" s="316"/>
      <c r="BE16" s="316"/>
      <c r="BF16" s="316"/>
      <c r="BG16" s="316"/>
      <c r="BH16" s="316"/>
      <c r="BI16" s="316"/>
      <c r="BJ16" s="316"/>
      <c r="BK16" s="316"/>
      <c r="BL16" s="316"/>
      <c r="BM16" s="316"/>
      <c r="BN16" s="316"/>
      <c r="BO16" s="316"/>
      <c r="BP16" s="316"/>
      <c r="BQ16" s="316"/>
      <c r="BR16" s="316"/>
      <c r="BS16" s="316"/>
      <c r="BT16" s="316"/>
      <c r="BU16" s="316"/>
      <c r="BV16" s="316"/>
      <c r="BW16" s="316"/>
      <c r="BX16" s="316"/>
      <c r="BY16" s="316"/>
      <c r="BZ16" s="316"/>
      <c r="CA16" s="316"/>
      <c r="CB16" s="316"/>
      <c r="CC16" s="316"/>
      <c r="CD16" s="316"/>
      <c r="CE16" s="316"/>
      <c r="CF16" s="316"/>
      <c r="CG16" s="316"/>
      <c r="CH16" s="316"/>
      <c r="CI16" s="316"/>
      <c r="CJ16" s="316"/>
      <c r="CK16" s="316"/>
      <c r="CL16" s="316"/>
      <c r="CM16" s="316"/>
      <c r="CN16" s="316"/>
      <c r="CO16" s="316"/>
      <c r="CP16" s="316"/>
      <c r="CQ16" s="316"/>
      <c r="CR16" s="316"/>
      <c r="CS16" s="316"/>
      <c r="CT16" s="316"/>
      <c r="CU16" s="316"/>
      <c r="CV16" s="316"/>
      <c r="CW16" s="316"/>
      <c r="CX16" s="316"/>
      <c r="CY16" s="316"/>
      <c r="CZ16" s="316"/>
      <c r="DA16" s="316"/>
      <c r="DB16" s="316"/>
      <c r="DC16" s="316"/>
      <c r="DD16" s="316"/>
      <c r="DE16" s="316"/>
      <c r="DF16" s="316"/>
      <c r="DG16" s="316"/>
      <c r="DH16" s="316"/>
      <c r="DI16" s="316"/>
      <c r="DJ16" s="316"/>
      <c r="DK16" s="316"/>
      <c r="DL16" s="316"/>
      <c r="DM16" s="316"/>
      <c r="DN16" s="316"/>
      <c r="DO16" s="316"/>
      <c r="DP16" s="316"/>
      <c r="DQ16" s="316"/>
      <c r="DR16" s="316"/>
      <c r="DS16" s="316"/>
      <c r="DT16" s="317"/>
      <c r="DU16" s="317"/>
      <c r="GH16" s="387"/>
      <c r="GI16" s="387"/>
    </row>
    <row r="17" spans="2:192" ht="15" customHeight="1" x14ac:dyDescent="0.25">
      <c r="B17" s="401" t="s">
        <v>1187</v>
      </c>
      <c r="C17" s="402" t="s">
        <v>1198</v>
      </c>
      <c r="D17" s="403" t="s">
        <v>1188</v>
      </c>
      <c r="E17" s="859"/>
      <c r="F17" s="884"/>
      <c r="G17" s="878"/>
      <c r="H17" s="880"/>
      <c r="I17" s="823"/>
      <c r="K17" s="316"/>
      <c r="L17" s="316"/>
      <c r="M17" s="316"/>
      <c r="N17" s="316"/>
      <c r="O17" s="316"/>
      <c r="P17" s="316"/>
      <c r="Q17" s="316"/>
      <c r="R17" s="316"/>
      <c r="S17" s="316"/>
      <c r="T17" s="316"/>
      <c r="U17" s="316"/>
      <c r="V17" s="316"/>
      <c r="W17" s="316"/>
      <c r="X17" s="316"/>
      <c r="Y17" s="316"/>
      <c r="Z17" s="316"/>
      <c r="AA17" s="316"/>
      <c r="AB17" s="316"/>
      <c r="AC17" s="316"/>
      <c r="AD17" s="316"/>
      <c r="AE17" s="316"/>
      <c r="AF17" s="316"/>
      <c r="AG17" s="316"/>
      <c r="AH17" s="316"/>
      <c r="AI17" s="316"/>
      <c r="AJ17" s="316"/>
      <c r="AK17" s="316"/>
      <c r="AL17" s="316"/>
      <c r="AM17" s="316"/>
      <c r="AN17" s="316"/>
      <c r="AO17" s="316"/>
      <c r="AP17" s="316"/>
      <c r="AQ17" s="316"/>
      <c r="AR17" s="316"/>
      <c r="AS17" s="316"/>
      <c r="AT17" s="316"/>
      <c r="AU17" s="316"/>
      <c r="AV17" s="316"/>
      <c r="AW17" s="316"/>
      <c r="AX17" s="316"/>
      <c r="AY17" s="316"/>
      <c r="AZ17" s="316"/>
      <c r="BA17" s="316"/>
      <c r="BB17" s="316"/>
      <c r="BC17" s="316"/>
      <c r="BD17" s="316"/>
      <c r="BE17" s="316"/>
      <c r="BF17" s="316"/>
      <c r="BG17" s="316"/>
      <c r="BH17" s="316"/>
      <c r="BI17" s="316"/>
      <c r="BJ17" s="316"/>
      <c r="BK17" s="316"/>
      <c r="BL17" s="316"/>
      <c r="BM17" s="316"/>
      <c r="BN17" s="316"/>
      <c r="BO17" s="316"/>
      <c r="BP17" s="316"/>
      <c r="BQ17" s="316"/>
      <c r="BR17" s="316"/>
      <c r="BS17" s="316"/>
      <c r="BT17" s="316"/>
      <c r="BU17" s="316"/>
      <c r="BV17" s="316"/>
      <c r="BW17" s="316"/>
      <c r="BX17" s="316"/>
      <c r="BY17" s="316"/>
      <c r="BZ17" s="316"/>
      <c r="CA17" s="316"/>
      <c r="CB17" s="316"/>
      <c r="CC17" s="316"/>
      <c r="CD17" s="316"/>
      <c r="CE17" s="316"/>
      <c r="CF17" s="316"/>
      <c r="CG17" s="316"/>
      <c r="CH17" s="316"/>
      <c r="CI17" s="316"/>
      <c r="CJ17" s="316"/>
      <c r="CK17" s="316"/>
      <c r="CL17" s="316"/>
      <c r="CM17" s="316"/>
      <c r="CN17" s="316"/>
      <c r="CO17" s="316"/>
      <c r="CP17" s="316"/>
      <c r="CQ17" s="316"/>
      <c r="CR17" s="316"/>
      <c r="CS17" s="316"/>
      <c r="CT17" s="316"/>
      <c r="CU17" s="316"/>
      <c r="CV17" s="316"/>
      <c r="CW17" s="316"/>
      <c r="CX17" s="316"/>
      <c r="CY17" s="316"/>
      <c r="CZ17" s="316"/>
      <c r="DA17" s="316"/>
      <c r="DB17" s="316"/>
      <c r="DC17" s="316"/>
      <c r="DD17" s="316"/>
      <c r="DE17" s="316"/>
      <c r="DF17" s="316"/>
      <c r="DG17" s="316"/>
      <c r="DH17" s="316"/>
      <c r="DI17" s="316"/>
      <c r="DJ17" s="316"/>
      <c r="DK17" s="316"/>
      <c r="DL17" s="316"/>
      <c r="DM17" s="316"/>
      <c r="DN17" s="316"/>
      <c r="DO17" s="316"/>
      <c r="DP17" s="316"/>
      <c r="DQ17" s="316"/>
      <c r="DR17" s="316"/>
      <c r="DS17" s="316"/>
      <c r="DT17" s="317"/>
      <c r="DU17" s="317"/>
      <c r="GH17" s="387"/>
      <c r="GI17" s="387"/>
    </row>
    <row r="18" spans="2:192" ht="16.95" customHeight="1" x14ac:dyDescent="0.25">
      <c r="B18" s="404" t="s">
        <v>1189</v>
      </c>
      <c r="C18" s="405"/>
      <c r="D18" s="422" t="str">
        <f>IFERROR((C18*100)/$D$15,"0")</f>
        <v>0</v>
      </c>
      <c r="E18" s="859"/>
      <c r="F18" s="884"/>
      <c r="G18" s="878"/>
      <c r="H18" s="880"/>
      <c r="I18" s="823"/>
      <c r="K18" s="316"/>
      <c r="L18" s="316"/>
      <c r="M18" s="316"/>
      <c r="N18" s="316"/>
      <c r="O18" s="316"/>
      <c r="P18" s="316"/>
      <c r="Q18" s="316"/>
      <c r="R18" s="316"/>
      <c r="S18" s="316"/>
      <c r="T18" s="316"/>
      <c r="U18" s="316"/>
      <c r="V18" s="316"/>
      <c r="W18" s="316"/>
      <c r="X18" s="316"/>
      <c r="Y18" s="316"/>
      <c r="Z18" s="316"/>
      <c r="AA18" s="316"/>
      <c r="AB18" s="316"/>
      <c r="AC18" s="316"/>
      <c r="AD18" s="316"/>
      <c r="AE18" s="316"/>
      <c r="AF18" s="316"/>
      <c r="AG18" s="316"/>
      <c r="AH18" s="316"/>
      <c r="AI18" s="316"/>
      <c r="AJ18" s="316"/>
      <c r="AK18" s="316"/>
      <c r="AL18" s="316"/>
      <c r="AM18" s="316"/>
      <c r="AN18" s="316"/>
      <c r="AO18" s="316"/>
      <c r="AP18" s="316"/>
      <c r="AQ18" s="316"/>
      <c r="AR18" s="316"/>
      <c r="AS18" s="316"/>
      <c r="AT18" s="316"/>
      <c r="AU18" s="316"/>
      <c r="AV18" s="316"/>
      <c r="AW18" s="316"/>
      <c r="AX18" s="316"/>
      <c r="AY18" s="316"/>
      <c r="AZ18" s="316"/>
      <c r="BA18" s="316"/>
      <c r="BB18" s="316"/>
      <c r="BC18" s="316"/>
      <c r="BD18" s="316"/>
      <c r="BE18" s="316"/>
      <c r="BF18" s="316"/>
      <c r="BG18" s="316"/>
      <c r="BH18" s="316"/>
      <c r="BI18" s="316"/>
      <c r="BJ18" s="316"/>
      <c r="BK18" s="316"/>
      <c r="BL18" s="316"/>
      <c r="BM18" s="316"/>
      <c r="BN18" s="316"/>
      <c r="BO18" s="316"/>
      <c r="BP18" s="316"/>
      <c r="BQ18" s="316"/>
      <c r="BR18" s="316"/>
      <c r="BS18" s="316"/>
      <c r="BT18" s="316"/>
      <c r="BU18" s="316"/>
      <c r="BV18" s="316"/>
      <c r="BW18" s="316"/>
      <c r="BX18" s="316"/>
      <c r="BY18" s="316"/>
      <c r="BZ18" s="316"/>
      <c r="CA18" s="316"/>
      <c r="CB18" s="316"/>
      <c r="CC18" s="316"/>
      <c r="CD18" s="316"/>
      <c r="CE18" s="316"/>
      <c r="CF18" s="316"/>
      <c r="CG18" s="316"/>
      <c r="CH18" s="316"/>
      <c r="CI18" s="316"/>
      <c r="CJ18" s="316"/>
      <c r="CK18" s="316"/>
      <c r="CL18" s="316"/>
      <c r="CM18" s="316"/>
      <c r="CN18" s="316"/>
      <c r="CO18" s="316"/>
      <c r="CP18" s="316"/>
      <c r="CQ18" s="316"/>
      <c r="CR18" s="316"/>
      <c r="CS18" s="316"/>
      <c r="CT18" s="316"/>
      <c r="CU18" s="316"/>
      <c r="CV18" s="316"/>
      <c r="CW18" s="316"/>
      <c r="CX18" s="316"/>
      <c r="CY18" s="316"/>
      <c r="CZ18" s="316"/>
      <c r="DA18" s="316"/>
      <c r="DB18" s="316"/>
      <c r="DC18" s="316"/>
      <c r="DD18" s="316"/>
      <c r="DE18" s="316"/>
      <c r="DF18" s="316"/>
      <c r="DG18" s="316"/>
      <c r="DH18" s="316"/>
      <c r="DI18" s="316"/>
      <c r="DJ18" s="316"/>
      <c r="DK18" s="316"/>
      <c r="DL18" s="316"/>
      <c r="DM18" s="316"/>
      <c r="DN18" s="316"/>
      <c r="DO18" s="316"/>
      <c r="DP18" s="316"/>
      <c r="DQ18" s="316"/>
      <c r="DR18" s="316"/>
      <c r="DS18" s="316"/>
      <c r="DT18" s="317"/>
      <c r="DU18" s="317"/>
      <c r="GH18" s="387"/>
      <c r="GI18" s="387"/>
    </row>
    <row r="19" spans="2:192" ht="16.95" customHeight="1" x14ac:dyDescent="0.25">
      <c r="B19" s="404" t="s">
        <v>1190</v>
      </c>
      <c r="C19" s="405"/>
      <c r="D19" s="422" t="str">
        <f t="shared" ref="D19:D26" si="3">IFERROR((C19*100)/$D$15,"0")</f>
        <v>0</v>
      </c>
      <c r="E19" s="859"/>
      <c r="F19" s="884"/>
      <c r="G19" s="878"/>
      <c r="H19" s="880"/>
      <c r="I19" s="823"/>
      <c r="K19" s="316"/>
      <c r="L19" s="316"/>
      <c r="M19" s="316"/>
      <c r="N19" s="316"/>
      <c r="O19" s="316"/>
      <c r="P19" s="316"/>
      <c r="Q19" s="316"/>
      <c r="R19" s="316"/>
      <c r="S19" s="316"/>
      <c r="T19" s="316"/>
      <c r="U19" s="316"/>
      <c r="V19" s="316"/>
      <c r="W19" s="316"/>
      <c r="X19" s="316"/>
      <c r="Y19" s="316"/>
      <c r="Z19" s="316"/>
      <c r="AA19" s="316"/>
      <c r="AB19" s="316"/>
      <c r="AC19" s="316"/>
      <c r="AD19" s="316"/>
      <c r="AE19" s="316"/>
      <c r="AF19" s="316"/>
      <c r="AG19" s="316"/>
      <c r="AH19" s="316"/>
      <c r="AI19" s="316"/>
      <c r="AJ19" s="316"/>
      <c r="AK19" s="316"/>
      <c r="AL19" s="316"/>
      <c r="AM19" s="316"/>
      <c r="AN19" s="316"/>
      <c r="AO19" s="316"/>
      <c r="AP19" s="316"/>
      <c r="AQ19" s="316"/>
      <c r="AR19" s="316"/>
      <c r="AS19" s="316"/>
      <c r="AT19" s="316"/>
      <c r="AU19" s="316"/>
      <c r="AV19" s="316"/>
      <c r="AW19" s="316"/>
      <c r="AX19" s="316"/>
      <c r="AY19" s="316"/>
      <c r="AZ19" s="316"/>
      <c r="BA19" s="316"/>
      <c r="BB19" s="316"/>
      <c r="BC19" s="316"/>
      <c r="BD19" s="316"/>
      <c r="BE19" s="316"/>
      <c r="BF19" s="316"/>
      <c r="BG19" s="316"/>
      <c r="BH19" s="316"/>
      <c r="BI19" s="316"/>
      <c r="BJ19" s="316"/>
      <c r="BK19" s="316"/>
      <c r="BL19" s="316"/>
      <c r="BM19" s="316"/>
      <c r="BN19" s="316"/>
      <c r="BO19" s="316"/>
      <c r="BP19" s="316"/>
      <c r="BQ19" s="316"/>
      <c r="BR19" s="316"/>
      <c r="BS19" s="316"/>
      <c r="BT19" s="316"/>
      <c r="BU19" s="316"/>
      <c r="BV19" s="316"/>
      <c r="BW19" s="316"/>
      <c r="BX19" s="316"/>
      <c r="BY19" s="316"/>
      <c r="BZ19" s="316"/>
      <c r="CA19" s="316"/>
      <c r="CB19" s="316"/>
      <c r="CC19" s="316"/>
      <c r="CD19" s="316"/>
      <c r="CE19" s="316"/>
      <c r="CF19" s="316"/>
      <c r="CG19" s="316"/>
      <c r="CH19" s="316"/>
      <c r="CI19" s="316"/>
      <c r="CJ19" s="316"/>
      <c r="CK19" s="316"/>
      <c r="CL19" s="316"/>
      <c r="CM19" s="316"/>
      <c r="CN19" s="316"/>
      <c r="CO19" s="316"/>
      <c r="CP19" s="316"/>
      <c r="CQ19" s="316"/>
      <c r="CR19" s="316"/>
      <c r="CS19" s="316"/>
      <c r="CT19" s="316"/>
      <c r="CU19" s="316"/>
      <c r="CV19" s="316"/>
      <c r="CW19" s="316"/>
      <c r="CX19" s="316"/>
      <c r="CY19" s="316"/>
      <c r="CZ19" s="316"/>
      <c r="DA19" s="316"/>
      <c r="DB19" s="316"/>
      <c r="DC19" s="316"/>
      <c r="DD19" s="316"/>
      <c r="DE19" s="316"/>
      <c r="DF19" s="316"/>
      <c r="DG19" s="316"/>
      <c r="DH19" s="316"/>
      <c r="DI19" s="316"/>
      <c r="DJ19" s="316"/>
      <c r="DK19" s="316"/>
      <c r="DL19" s="316"/>
      <c r="DM19" s="316"/>
      <c r="DN19" s="316"/>
      <c r="DO19" s="316"/>
      <c r="DP19" s="316"/>
      <c r="DQ19" s="316"/>
      <c r="DR19" s="316"/>
      <c r="DS19" s="316"/>
      <c r="DT19" s="317"/>
      <c r="DU19" s="317"/>
      <c r="GH19" s="387"/>
      <c r="GI19" s="387"/>
    </row>
    <row r="20" spans="2:192" ht="16.95" customHeight="1" x14ac:dyDescent="0.25">
      <c r="B20" s="404" t="s">
        <v>1191</v>
      </c>
      <c r="C20" s="405"/>
      <c r="D20" s="422" t="str">
        <f t="shared" si="3"/>
        <v>0</v>
      </c>
      <c r="E20" s="859"/>
      <c r="F20" s="884"/>
      <c r="G20" s="878"/>
      <c r="H20" s="880"/>
      <c r="I20" s="823"/>
      <c r="K20" s="316"/>
      <c r="L20" s="316"/>
      <c r="M20" s="316"/>
      <c r="N20" s="316"/>
      <c r="O20" s="316"/>
      <c r="P20" s="316"/>
      <c r="Q20" s="316"/>
      <c r="R20" s="316"/>
      <c r="S20" s="316"/>
      <c r="T20" s="316"/>
      <c r="U20" s="316"/>
      <c r="V20" s="316"/>
      <c r="W20" s="316"/>
      <c r="X20" s="316"/>
      <c r="Y20" s="316"/>
      <c r="Z20" s="316"/>
      <c r="AA20" s="316"/>
      <c r="AB20" s="316"/>
      <c r="AC20" s="316"/>
      <c r="AD20" s="316"/>
      <c r="AE20" s="316"/>
      <c r="AF20" s="316"/>
      <c r="AG20" s="316"/>
      <c r="AH20" s="316"/>
      <c r="AI20" s="316"/>
      <c r="AJ20" s="316"/>
      <c r="AK20" s="316"/>
      <c r="AL20" s="316"/>
      <c r="AM20" s="316"/>
      <c r="AN20" s="316"/>
      <c r="AO20" s="316"/>
      <c r="AP20" s="316"/>
      <c r="AQ20" s="316"/>
      <c r="AR20" s="316"/>
      <c r="AS20" s="316"/>
      <c r="AT20" s="316"/>
      <c r="AU20" s="316"/>
      <c r="AV20" s="316"/>
      <c r="AW20" s="316"/>
      <c r="AX20" s="316"/>
      <c r="AY20" s="316"/>
      <c r="AZ20" s="316"/>
      <c r="BA20" s="316"/>
      <c r="BB20" s="316"/>
      <c r="BC20" s="316"/>
      <c r="BD20" s="316"/>
      <c r="BE20" s="316"/>
      <c r="BF20" s="316"/>
      <c r="BG20" s="316"/>
      <c r="BH20" s="316"/>
      <c r="BI20" s="316"/>
      <c r="BJ20" s="316"/>
      <c r="BK20" s="316"/>
      <c r="BL20" s="316"/>
      <c r="BM20" s="316"/>
      <c r="BN20" s="316"/>
      <c r="BO20" s="316"/>
      <c r="BP20" s="316"/>
      <c r="BQ20" s="316"/>
      <c r="BR20" s="316"/>
      <c r="BS20" s="316"/>
      <c r="BT20" s="316"/>
      <c r="BU20" s="316"/>
      <c r="BV20" s="316"/>
      <c r="BW20" s="316"/>
      <c r="BX20" s="316"/>
      <c r="BY20" s="316"/>
      <c r="BZ20" s="316"/>
      <c r="CA20" s="316"/>
      <c r="CB20" s="316"/>
      <c r="CC20" s="316"/>
      <c r="CD20" s="316"/>
      <c r="CE20" s="316"/>
      <c r="CF20" s="316"/>
      <c r="CG20" s="316"/>
      <c r="CH20" s="316"/>
      <c r="CI20" s="316"/>
      <c r="CJ20" s="316"/>
      <c r="CK20" s="316"/>
      <c r="CL20" s="316"/>
      <c r="CM20" s="316"/>
      <c r="CN20" s="316"/>
      <c r="CO20" s="316"/>
      <c r="CP20" s="316"/>
      <c r="CQ20" s="316"/>
      <c r="CR20" s="316"/>
      <c r="CS20" s="316"/>
      <c r="CT20" s="316"/>
      <c r="CU20" s="316"/>
      <c r="CV20" s="316"/>
      <c r="CW20" s="316"/>
      <c r="CX20" s="316"/>
      <c r="CY20" s="316"/>
      <c r="CZ20" s="316"/>
      <c r="DA20" s="316"/>
      <c r="DB20" s="316"/>
      <c r="DC20" s="316"/>
      <c r="DD20" s="316"/>
      <c r="DE20" s="316"/>
      <c r="DF20" s="316"/>
      <c r="DG20" s="316"/>
      <c r="DH20" s="316"/>
      <c r="DI20" s="316"/>
      <c r="DJ20" s="316"/>
      <c r="DK20" s="316"/>
      <c r="DL20" s="316"/>
      <c r="DM20" s="316"/>
      <c r="DN20" s="316"/>
      <c r="DO20" s="316"/>
      <c r="DP20" s="316"/>
      <c r="DQ20" s="316"/>
      <c r="DR20" s="316"/>
      <c r="DS20" s="316"/>
      <c r="DT20" s="317"/>
      <c r="DU20" s="317"/>
      <c r="GH20" s="387"/>
      <c r="GI20" s="387"/>
    </row>
    <row r="21" spans="2:192" ht="16.95" customHeight="1" x14ac:dyDescent="0.25">
      <c r="B21" s="404" t="s">
        <v>1192</v>
      </c>
      <c r="C21" s="405"/>
      <c r="D21" s="422" t="str">
        <f t="shared" si="3"/>
        <v>0</v>
      </c>
      <c r="E21" s="859"/>
      <c r="F21" s="884"/>
      <c r="G21" s="878"/>
      <c r="H21" s="880"/>
      <c r="I21" s="823"/>
      <c r="K21" s="316"/>
      <c r="L21" s="316"/>
      <c r="M21" s="316"/>
      <c r="N21" s="316"/>
      <c r="O21" s="316"/>
      <c r="P21" s="316"/>
      <c r="Q21" s="316"/>
      <c r="R21" s="316"/>
      <c r="S21" s="316"/>
      <c r="T21" s="316"/>
      <c r="U21" s="316"/>
      <c r="V21" s="316"/>
      <c r="W21" s="316"/>
      <c r="X21" s="316"/>
      <c r="Y21" s="316"/>
      <c r="Z21" s="316"/>
      <c r="AA21" s="316"/>
      <c r="AB21" s="316"/>
      <c r="AC21" s="316"/>
      <c r="AD21" s="316"/>
      <c r="AE21" s="316"/>
      <c r="AF21" s="316"/>
      <c r="AG21" s="316"/>
      <c r="AH21" s="316"/>
      <c r="AI21" s="316"/>
      <c r="AJ21" s="316"/>
      <c r="AK21" s="316"/>
      <c r="AL21" s="316"/>
      <c r="AM21" s="316"/>
      <c r="AN21" s="316"/>
      <c r="AO21" s="316"/>
      <c r="AP21" s="316"/>
      <c r="AQ21" s="316"/>
      <c r="AR21" s="316"/>
      <c r="AS21" s="316"/>
      <c r="AT21" s="316"/>
      <c r="AU21" s="316"/>
      <c r="AV21" s="316"/>
      <c r="AW21" s="316"/>
      <c r="AX21" s="316"/>
      <c r="AY21" s="316"/>
      <c r="AZ21" s="316"/>
      <c r="BA21" s="316"/>
      <c r="BB21" s="316"/>
      <c r="BC21" s="316"/>
      <c r="BD21" s="316"/>
      <c r="BE21" s="316"/>
      <c r="BF21" s="316"/>
      <c r="BG21" s="316"/>
      <c r="BH21" s="316"/>
      <c r="BI21" s="316"/>
      <c r="BJ21" s="316"/>
      <c r="BK21" s="316"/>
      <c r="BL21" s="316"/>
      <c r="BM21" s="316"/>
      <c r="BN21" s="316"/>
      <c r="BO21" s="316"/>
      <c r="BP21" s="316"/>
      <c r="BQ21" s="316"/>
      <c r="BR21" s="316"/>
      <c r="BS21" s="316"/>
      <c r="BT21" s="316"/>
      <c r="BU21" s="316"/>
      <c r="BV21" s="316"/>
      <c r="BW21" s="316"/>
      <c r="BX21" s="316"/>
      <c r="BY21" s="316"/>
      <c r="BZ21" s="316"/>
      <c r="CA21" s="316"/>
      <c r="CB21" s="316"/>
      <c r="CC21" s="316"/>
      <c r="CD21" s="316"/>
      <c r="CE21" s="316"/>
      <c r="CF21" s="316"/>
      <c r="CG21" s="316"/>
      <c r="CH21" s="316"/>
      <c r="CI21" s="316"/>
      <c r="CJ21" s="316"/>
      <c r="CK21" s="316"/>
      <c r="CL21" s="316"/>
      <c r="CM21" s="316"/>
      <c r="CN21" s="316"/>
      <c r="CO21" s="316"/>
      <c r="CP21" s="316"/>
      <c r="CQ21" s="316"/>
      <c r="CR21" s="316"/>
      <c r="CS21" s="316"/>
      <c r="CT21" s="316"/>
      <c r="CU21" s="316"/>
      <c r="CV21" s="316"/>
      <c r="CW21" s="316"/>
      <c r="CX21" s="316"/>
      <c r="CY21" s="316"/>
      <c r="CZ21" s="316"/>
      <c r="DA21" s="316"/>
      <c r="DB21" s="316"/>
      <c r="DC21" s="316"/>
      <c r="DD21" s="316"/>
      <c r="DE21" s="316"/>
      <c r="DF21" s="316"/>
      <c r="DG21" s="316"/>
      <c r="DH21" s="316"/>
      <c r="DI21" s="316"/>
      <c r="DJ21" s="316"/>
      <c r="DK21" s="316"/>
      <c r="DL21" s="316"/>
      <c r="DM21" s="316"/>
      <c r="DN21" s="316"/>
      <c r="DO21" s="316"/>
      <c r="DP21" s="316"/>
      <c r="DQ21" s="316"/>
      <c r="DR21" s="316"/>
      <c r="DS21" s="316"/>
      <c r="DT21" s="317"/>
      <c r="DU21" s="317"/>
      <c r="GH21" s="387"/>
      <c r="GI21" s="387"/>
    </row>
    <row r="22" spans="2:192" ht="16.95" customHeight="1" x14ac:dyDescent="0.25">
      <c r="B22" s="404" t="s">
        <v>1193</v>
      </c>
      <c r="C22" s="405"/>
      <c r="D22" s="422" t="str">
        <f t="shared" si="3"/>
        <v>0</v>
      </c>
      <c r="E22" s="859"/>
      <c r="F22" s="884"/>
      <c r="G22" s="878"/>
      <c r="H22" s="880"/>
      <c r="I22" s="823"/>
      <c r="K22" s="316"/>
      <c r="L22" s="410"/>
      <c r="M22" s="316"/>
      <c r="N22" s="316"/>
      <c r="O22" s="316"/>
      <c r="P22" s="316"/>
      <c r="Q22" s="316"/>
      <c r="R22" s="316"/>
      <c r="S22" s="316"/>
      <c r="T22" s="316"/>
      <c r="U22" s="316"/>
      <c r="V22" s="316"/>
      <c r="W22" s="316"/>
      <c r="X22" s="316"/>
      <c r="Y22" s="316"/>
      <c r="Z22" s="316"/>
      <c r="AA22" s="316"/>
      <c r="AB22" s="316"/>
      <c r="AC22" s="316"/>
      <c r="AD22" s="316"/>
      <c r="AE22" s="316"/>
      <c r="AF22" s="316"/>
      <c r="AG22" s="316"/>
      <c r="AH22" s="316"/>
      <c r="AI22" s="316"/>
      <c r="AJ22" s="316"/>
      <c r="AK22" s="316"/>
      <c r="AL22" s="316"/>
      <c r="AM22" s="316"/>
      <c r="AN22" s="316"/>
      <c r="AO22" s="316"/>
      <c r="AP22" s="316"/>
      <c r="AQ22" s="316"/>
      <c r="AR22" s="316"/>
      <c r="AS22" s="316"/>
      <c r="AT22" s="316"/>
      <c r="AU22" s="316"/>
      <c r="AV22" s="316"/>
      <c r="AW22" s="316"/>
      <c r="AX22" s="316"/>
      <c r="AY22" s="316"/>
      <c r="AZ22" s="316"/>
      <c r="BA22" s="316"/>
      <c r="BB22" s="316"/>
      <c r="BC22" s="316"/>
      <c r="BD22" s="316"/>
      <c r="BE22" s="316"/>
      <c r="BF22" s="316"/>
      <c r="BG22" s="316"/>
      <c r="BH22" s="316"/>
      <c r="BI22" s="316"/>
      <c r="BJ22" s="316"/>
      <c r="BK22" s="316"/>
      <c r="BL22" s="316"/>
      <c r="BM22" s="316"/>
      <c r="BN22" s="316"/>
      <c r="BO22" s="316"/>
      <c r="BP22" s="316"/>
      <c r="BQ22" s="316"/>
      <c r="BR22" s="316"/>
      <c r="BS22" s="316"/>
      <c r="BT22" s="316"/>
      <c r="BU22" s="316"/>
      <c r="BV22" s="316"/>
      <c r="BW22" s="316"/>
      <c r="BX22" s="316"/>
      <c r="BY22" s="316"/>
      <c r="BZ22" s="316"/>
      <c r="CA22" s="316"/>
      <c r="CB22" s="316"/>
      <c r="CC22" s="316"/>
      <c r="CD22" s="316"/>
      <c r="CE22" s="316"/>
      <c r="CF22" s="316"/>
      <c r="CG22" s="316"/>
      <c r="CH22" s="316"/>
      <c r="CI22" s="316"/>
      <c r="CJ22" s="316"/>
      <c r="CK22" s="316"/>
      <c r="CL22" s="316"/>
      <c r="CM22" s="316"/>
      <c r="CN22" s="316"/>
      <c r="CO22" s="316"/>
      <c r="CP22" s="316"/>
      <c r="CQ22" s="316"/>
      <c r="CR22" s="316"/>
      <c r="CS22" s="316"/>
      <c r="CT22" s="316"/>
      <c r="CU22" s="316"/>
      <c r="CV22" s="316"/>
      <c r="CW22" s="316"/>
      <c r="CX22" s="316"/>
      <c r="CY22" s="316"/>
      <c r="CZ22" s="316"/>
      <c r="DA22" s="316"/>
      <c r="DB22" s="316"/>
      <c r="DC22" s="316"/>
      <c r="DD22" s="316"/>
      <c r="DE22" s="316"/>
      <c r="DF22" s="316"/>
      <c r="DG22" s="316"/>
      <c r="DH22" s="316"/>
      <c r="DI22" s="316"/>
      <c r="DJ22" s="316"/>
      <c r="DK22" s="316"/>
      <c r="DL22" s="316"/>
      <c r="DM22" s="316"/>
      <c r="DN22" s="316"/>
      <c r="DO22" s="316"/>
      <c r="DP22" s="316"/>
      <c r="DQ22" s="316"/>
      <c r="DR22" s="316"/>
      <c r="DS22" s="316"/>
      <c r="DT22" s="317"/>
      <c r="DU22" s="317"/>
      <c r="GH22" s="387"/>
      <c r="GI22" s="387"/>
    </row>
    <row r="23" spans="2:192" ht="16.95" customHeight="1" x14ac:dyDescent="0.25">
      <c r="B23" s="404" t="s">
        <v>1194</v>
      </c>
      <c r="C23" s="405"/>
      <c r="D23" s="422" t="str">
        <f t="shared" si="3"/>
        <v>0</v>
      </c>
      <c r="E23" s="859"/>
      <c r="F23" s="884"/>
      <c r="G23" s="878"/>
      <c r="H23" s="880"/>
      <c r="I23" s="823"/>
      <c r="K23" s="316"/>
      <c r="L23" s="316"/>
      <c r="M23" s="316"/>
      <c r="N23" s="316"/>
      <c r="O23" s="316"/>
      <c r="P23" s="316"/>
      <c r="Q23" s="316"/>
      <c r="R23" s="316"/>
      <c r="S23" s="316"/>
      <c r="T23" s="316"/>
      <c r="U23" s="316"/>
      <c r="V23" s="316"/>
      <c r="W23" s="316"/>
      <c r="X23" s="316"/>
      <c r="Y23" s="316"/>
      <c r="Z23" s="316"/>
      <c r="AA23" s="316"/>
      <c r="AB23" s="316"/>
      <c r="AC23" s="316"/>
      <c r="AD23" s="316"/>
      <c r="AE23" s="316"/>
      <c r="AF23" s="316"/>
      <c r="AG23" s="316"/>
      <c r="AH23" s="316"/>
      <c r="AI23" s="316"/>
      <c r="AJ23" s="316"/>
      <c r="AK23" s="316"/>
      <c r="AL23" s="316"/>
      <c r="AM23" s="316"/>
      <c r="AN23" s="316"/>
      <c r="AO23" s="316"/>
      <c r="AP23" s="316"/>
      <c r="AQ23" s="316"/>
      <c r="AR23" s="316"/>
      <c r="AS23" s="316"/>
      <c r="AT23" s="316"/>
      <c r="AU23" s="316"/>
      <c r="AV23" s="316"/>
      <c r="AW23" s="316"/>
      <c r="AX23" s="316"/>
      <c r="AY23" s="316"/>
      <c r="AZ23" s="316"/>
      <c r="BA23" s="316"/>
      <c r="BB23" s="316"/>
      <c r="BC23" s="316"/>
      <c r="BD23" s="316"/>
      <c r="BE23" s="316"/>
      <c r="BF23" s="316"/>
      <c r="BG23" s="316"/>
      <c r="BH23" s="316"/>
      <c r="BI23" s="316"/>
      <c r="BJ23" s="316"/>
      <c r="BK23" s="316"/>
      <c r="BL23" s="316"/>
      <c r="BM23" s="316"/>
      <c r="BN23" s="316"/>
      <c r="BO23" s="316"/>
      <c r="BP23" s="316"/>
      <c r="BQ23" s="316"/>
      <c r="BR23" s="316"/>
      <c r="BS23" s="316"/>
      <c r="BT23" s="316"/>
      <c r="BU23" s="316"/>
      <c r="BV23" s="316"/>
      <c r="BW23" s="316"/>
      <c r="BX23" s="316"/>
      <c r="BY23" s="316"/>
      <c r="BZ23" s="316"/>
      <c r="CA23" s="316"/>
      <c r="CB23" s="316"/>
      <c r="CC23" s="316"/>
      <c r="CD23" s="316"/>
      <c r="CE23" s="316"/>
      <c r="CF23" s="316"/>
      <c r="CG23" s="316"/>
      <c r="CH23" s="316"/>
      <c r="CI23" s="316"/>
      <c r="CJ23" s="316"/>
      <c r="CK23" s="316"/>
      <c r="CL23" s="316"/>
      <c r="CM23" s="316"/>
      <c r="CN23" s="316"/>
      <c r="CO23" s="316"/>
      <c r="CP23" s="316"/>
      <c r="CQ23" s="316"/>
      <c r="CR23" s="316"/>
      <c r="CS23" s="316"/>
      <c r="CT23" s="316"/>
      <c r="CU23" s="316"/>
      <c r="CV23" s="316"/>
      <c r="CW23" s="316"/>
      <c r="CX23" s="316"/>
      <c r="CY23" s="316"/>
      <c r="CZ23" s="316"/>
      <c r="DA23" s="316"/>
      <c r="DB23" s="316"/>
      <c r="DC23" s="316"/>
      <c r="DD23" s="316"/>
      <c r="DE23" s="316"/>
      <c r="DF23" s="316"/>
      <c r="DG23" s="316"/>
      <c r="DH23" s="316"/>
      <c r="DI23" s="316"/>
      <c r="DJ23" s="316"/>
      <c r="DK23" s="316"/>
      <c r="DL23" s="316"/>
      <c r="DM23" s="316"/>
      <c r="DN23" s="316"/>
      <c r="DO23" s="316"/>
      <c r="DP23" s="316"/>
      <c r="DQ23" s="316"/>
      <c r="DR23" s="316"/>
      <c r="DS23" s="316"/>
      <c r="DT23" s="317"/>
      <c r="DU23" s="317"/>
      <c r="GH23" s="387"/>
      <c r="GI23" s="387"/>
    </row>
    <row r="24" spans="2:192" ht="16.95" customHeight="1" x14ac:dyDescent="0.25">
      <c r="B24" s="404" t="s">
        <v>1195</v>
      </c>
      <c r="C24" s="405"/>
      <c r="D24" s="422" t="str">
        <f t="shared" si="3"/>
        <v>0</v>
      </c>
      <c r="E24" s="859"/>
      <c r="F24" s="884"/>
      <c r="G24" s="878"/>
      <c r="H24" s="880"/>
      <c r="I24" s="823"/>
      <c r="K24" s="316"/>
      <c r="L24" s="316"/>
      <c r="M24" s="316"/>
      <c r="N24" s="316"/>
      <c r="O24" s="316"/>
      <c r="P24" s="316"/>
      <c r="Q24" s="316"/>
      <c r="R24" s="316"/>
      <c r="S24" s="316"/>
      <c r="T24" s="316"/>
      <c r="U24" s="316"/>
      <c r="V24" s="316"/>
      <c r="W24" s="316"/>
      <c r="X24" s="316"/>
      <c r="Y24" s="316"/>
      <c r="Z24" s="316"/>
      <c r="AA24" s="316"/>
      <c r="AB24" s="316"/>
      <c r="AC24" s="316"/>
      <c r="AD24" s="316"/>
      <c r="AE24" s="316"/>
      <c r="AF24" s="316"/>
      <c r="AG24" s="316"/>
      <c r="AH24" s="316"/>
      <c r="AI24" s="316"/>
      <c r="AJ24" s="316"/>
      <c r="AK24" s="316"/>
      <c r="AL24" s="316"/>
      <c r="AM24" s="316"/>
      <c r="AN24" s="316"/>
      <c r="AO24" s="316"/>
      <c r="AP24" s="316"/>
      <c r="AQ24" s="316"/>
      <c r="AR24" s="316"/>
      <c r="AS24" s="316"/>
      <c r="AT24" s="316"/>
      <c r="AU24" s="316"/>
      <c r="AV24" s="316"/>
      <c r="AW24" s="316"/>
      <c r="AX24" s="316"/>
      <c r="AY24" s="316"/>
      <c r="AZ24" s="316"/>
      <c r="BA24" s="316"/>
      <c r="BB24" s="316"/>
      <c r="BC24" s="316"/>
      <c r="BD24" s="316"/>
      <c r="BE24" s="316"/>
      <c r="BF24" s="316"/>
      <c r="BG24" s="316"/>
      <c r="BH24" s="316"/>
      <c r="BI24" s="316"/>
      <c r="BJ24" s="316"/>
      <c r="BK24" s="316"/>
      <c r="BL24" s="316"/>
      <c r="BM24" s="316"/>
      <c r="BN24" s="316"/>
      <c r="BO24" s="316"/>
      <c r="BP24" s="316"/>
      <c r="BQ24" s="316"/>
      <c r="BR24" s="316"/>
      <c r="BS24" s="316"/>
      <c r="BT24" s="316"/>
      <c r="BU24" s="316"/>
      <c r="BV24" s="316"/>
      <c r="BW24" s="316"/>
      <c r="BX24" s="316"/>
      <c r="BY24" s="316"/>
      <c r="BZ24" s="316"/>
      <c r="CA24" s="316"/>
      <c r="CB24" s="316"/>
      <c r="CC24" s="316"/>
      <c r="CD24" s="316"/>
      <c r="CE24" s="316"/>
      <c r="CF24" s="316"/>
      <c r="CG24" s="316"/>
      <c r="CH24" s="316"/>
      <c r="CI24" s="316"/>
      <c r="CJ24" s="316"/>
      <c r="CK24" s="316"/>
      <c r="CL24" s="316"/>
      <c r="CM24" s="316"/>
      <c r="CN24" s="316"/>
      <c r="CO24" s="316"/>
      <c r="CP24" s="316"/>
      <c r="CQ24" s="316"/>
      <c r="CR24" s="316"/>
      <c r="CS24" s="316"/>
      <c r="CT24" s="316"/>
      <c r="CU24" s="316"/>
      <c r="CV24" s="316"/>
      <c r="CW24" s="316"/>
      <c r="CX24" s="316"/>
      <c r="CY24" s="316"/>
      <c r="CZ24" s="316"/>
      <c r="DA24" s="316"/>
      <c r="DB24" s="316"/>
      <c r="DC24" s="316"/>
      <c r="DD24" s="316"/>
      <c r="DE24" s="316"/>
      <c r="DF24" s="316"/>
      <c r="DG24" s="316"/>
      <c r="DH24" s="316"/>
      <c r="DI24" s="316"/>
      <c r="DJ24" s="316"/>
      <c r="DK24" s="316"/>
      <c r="DL24" s="316"/>
      <c r="DM24" s="316"/>
      <c r="DN24" s="316"/>
      <c r="DO24" s="316"/>
      <c r="DP24" s="316"/>
      <c r="DQ24" s="316"/>
      <c r="DR24" s="316"/>
      <c r="DS24" s="316"/>
      <c r="DT24" s="317"/>
      <c r="DU24" s="317"/>
      <c r="GH24" s="387"/>
      <c r="GI24" s="387"/>
    </row>
    <row r="25" spans="2:192" ht="16.95" customHeight="1" x14ac:dyDescent="0.25">
      <c r="B25" s="404" t="s">
        <v>1196</v>
      </c>
      <c r="C25" s="405"/>
      <c r="D25" s="422" t="str">
        <f t="shared" si="3"/>
        <v>0</v>
      </c>
      <c r="E25" s="859"/>
      <c r="F25" s="884"/>
      <c r="G25" s="878"/>
      <c r="H25" s="880"/>
      <c r="I25" s="823"/>
      <c r="K25" s="316"/>
      <c r="L25" s="316"/>
      <c r="M25" s="316"/>
      <c r="N25" s="316"/>
      <c r="O25" s="316"/>
      <c r="P25" s="316"/>
      <c r="Q25" s="316"/>
      <c r="R25" s="316"/>
      <c r="S25" s="316"/>
      <c r="T25" s="316"/>
      <c r="U25" s="316"/>
      <c r="V25" s="316"/>
      <c r="W25" s="316"/>
      <c r="X25" s="316"/>
      <c r="Y25" s="316"/>
      <c r="Z25" s="316"/>
      <c r="AA25" s="316"/>
      <c r="AB25" s="316"/>
      <c r="AC25" s="316"/>
      <c r="AD25" s="316"/>
      <c r="AE25" s="316"/>
      <c r="AF25" s="316"/>
      <c r="AG25" s="316"/>
      <c r="AH25" s="316"/>
      <c r="AI25" s="316"/>
      <c r="AJ25" s="316"/>
      <c r="AK25" s="316"/>
      <c r="AL25" s="316"/>
      <c r="AM25" s="316"/>
      <c r="AN25" s="316"/>
      <c r="AO25" s="316"/>
      <c r="AP25" s="316"/>
      <c r="AQ25" s="316"/>
      <c r="AR25" s="316"/>
      <c r="AS25" s="316"/>
      <c r="AT25" s="316"/>
      <c r="AU25" s="316"/>
      <c r="AV25" s="316"/>
      <c r="AW25" s="316"/>
      <c r="AX25" s="316"/>
      <c r="AY25" s="316"/>
      <c r="AZ25" s="316"/>
      <c r="BA25" s="316"/>
      <c r="BB25" s="316"/>
      <c r="BC25" s="316"/>
      <c r="BD25" s="316"/>
      <c r="BE25" s="316"/>
      <c r="BF25" s="316"/>
      <c r="BG25" s="316"/>
      <c r="BH25" s="316"/>
      <c r="BI25" s="316"/>
      <c r="BJ25" s="316"/>
      <c r="BK25" s="316"/>
      <c r="BL25" s="316"/>
      <c r="BM25" s="316"/>
      <c r="BN25" s="316"/>
      <c r="BO25" s="316"/>
      <c r="BP25" s="316"/>
      <c r="BQ25" s="316"/>
      <c r="BR25" s="316"/>
      <c r="BS25" s="316"/>
      <c r="BT25" s="316"/>
      <c r="BU25" s="316"/>
      <c r="BV25" s="316"/>
      <c r="BW25" s="316"/>
      <c r="BX25" s="316"/>
      <c r="BY25" s="316"/>
      <c r="BZ25" s="316"/>
      <c r="CA25" s="316"/>
      <c r="CB25" s="316"/>
      <c r="CC25" s="316"/>
      <c r="CD25" s="316"/>
      <c r="CE25" s="316"/>
      <c r="CF25" s="316"/>
      <c r="CG25" s="316"/>
      <c r="CH25" s="316"/>
      <c r="CI25" s="316"/>
      <c r="CJ25" s="316"/>
      <c r="CK25" s="316"/>
      <c r="CL25" s="316"/>
      <c r="CM25" s="316"/>
      <c r="CN25" s="316"/>
      <c r="CO25" s="316"/>
      <c r="CP25" s="316"/>
      <c r="CQ25" s="316"/>
      <c r="CR25" s="316"/>
      <c r="CS25" s="316"/>
      <c r="CT25" s="316"/>
      <c r="CU25" s="316"/>
      <c r="CV25" s="316"/>
      <c r="CW25" s="316"/>
      <c r="CX25" s="316"/>
      <c r="CY25" s="316"/>
      <c r="CZ25" s="316"/>
      <c r="DA25" s="316"/>
      <c r="DB25" s="316"/>
      <c r="DC25" s="316"/>
      <c r="DD25" s="316"/>
      <c r="DE25" s="316"/>
      <c r="DF25" s="316"/>
      <c r="DG25" s="316"/>
      <c r="DH25" s="316"/>
      <c r="DI25" s="316"/>
      <c r="DJ25" s="316"/>
      <c r="DK25" s="316"/>
      <c r="DL25" s="316"/>
      <c r="DM25" s="316"/>
      <c r="DN25" s="316"/>
      <c r="DO25" s="316"/>
      <c r="DP25" s="316"/>
      <c r="DQ25" s="316"/>
      <c r="DR25" s="316"/>
      <c r="DS25" s="316"/>
      <c r="DT25" s="317"/>
      <c r="DU25" s="317"/>
      <c r="GH25" s="387"/>
      <c r="GI25" s="387"/>
    </row>
    <row r="26" spans="2:192" ht="16.95" customHeight="1" x14ac:dyDescent="0.25">
      <c r="B26" s="404" t="s">
        <v>1197</v>
      </c>
      <c r="C26" s="406"/>
      <c r="D26" s="422" t="str">
        <f t="shared" si="3"/>
        <v>0</v>
      </c>
      <c r="E26" s="859"/>
      <c r="F26" s="884"/>
      <c r="G26" s="878"/>
      <c r="H26" s="880"/>
      <c r="I26" s="823"/>
      <c r="K26" s="316"/>
      <c r="L26" s="316"/>
      <c r="M26" s="316"/>
      <c r="N26" s="316"/>
      <c r="O26" s="316"/>
      <c r="P26" s="316"/>
      <c r="Q26" s="316"/>
      <c r="R26" s="316"/>
      <c r="S26" s="316"/>
      <c r="T26" s="316"/>
      <c r="U26" s="316"/>
      <c r="V26" s="316"/>
      <c r="W26" s="316"/>
      <c r="X26" s="316"/>
      <c r="Y26" s="316"/>
      <c r="Z26" s="316"/>
      <c r="AA26" s="316"/>
      <c r="AB26" s="316"/>
      <c r="AC26" s="316"/>
      <c r="AD26" s="316"/>
      <c r="AE26" s="316"/>
      <c r="AF26" s="316"/>
      <c r="AG26" s="316"/>
      <c r="AH26" s="316"/>
      <c r="AI26" s="316"/>
      <c r="AJ26" s="316"/>
      <c r="AK26" s="316"/>
      <c r="AL26" s="316"/>
      <c r="AM26" s="316"/>
      <c r="AN26" s="316"/>
      <c r="AO26" s="316"/>
      <c r="AP26" s="316"/>
      <c r="AQ26" s="316"/>
      <c r="AR26" s="316"/>
      <c r="AS26" s="316"/>
      <c r="AT26" s="316"/>
      <c r="AU26" s="316"/>
      <c r="AV26" s="316"/>
      <c r="AW26" s="316"/>
      <c r="AX26" s="316"/>
      <c r="AY26" s="316"/>
      <c r="AZ26" s="316"/>
      <c r="BA26" s="316"/>
      <c r="BB26" s="316"/>
      <c r="BC26" s="316"/>
      <c r="BD26" s="316"/>
      <c r="BE26" s="316"/>
      <c r="BF26" s="316"/>
      <c r="BG26" s="316"/>
      <c r="BH26" s="316"/>
      <c r="BI26" s="316"/>
      <c r="BJ26" s="316"/>
      <c r="BK26" s="316"/>
      <c r="BL26" s="316"/>
      <c r="BM26" s="316"/>
      <c r="BN26" s="316"/>
      <c r="BO26" s="316"/>
      <c r="BP26" s="316"/>
      <c r="BQ26" s="316"/>
      <c r="BR26" s="316"/>
      <c r="BS26" s="316"/>
      <c r="BT26" s="316"/>
      <c r="BU26" s="316"/>
      <c r="BV26" s="316"/>
      <c r="BW26" s="316"/>
      <c r="BX26" s="316"/>
      <c r="BY26" s="316"/>
      <c r="BZ26" s="316"/>
      <c r="CA26" s="316"/>
      <c r="CB26" s="316"/>
      <c r="CC26" s="316"/>
      <c r="CD26" s="316"/>
      <c r="CE26" s="316"/>
      <c r="CF26" s="316"/>
      <c r="CG26" s="316"/>
      <c r="CH26" s="316"/>
      <c r="CI26" s="316"/>
      <c r="CJ26" s="316"/>
      <c r="CK26" s="316"/>
      <c r="CL26" s="316"/>
      <c r="CM26" s="316"/>
      <c r="CN26" s="316"/>
      <c r="CO26" s="316"/>
      <c r="CP26" s="316"/>
      <c r="CQ26" s="316"/>
      <c r="CR26" s="316"/>
      <c r="CS26" s="316"/>
      <c r="CT26" s="316"/>
      <c r="CU26" s="316"/>
      <c r="CV26" s="316"/>
      <c r="CW26" s="316"/>
      <c r="CX26" s="316"/>
      <c r="CY26" s="316"/>
      <c r="CZ26" s="316"/>
      <c r="DA26" s="316"/>
      <c r="DB26" s="316"/>
      <c r="DC26" s="316"/>
      <c r="DD26" s="316"/>
      <c r="DE26" s="316"/>
      <c r="DF26" s="316"/>
      <c r="DG26" s="316"/>
      <c r="DH26" s="316"/>
      <c r="DI26" s="316"/>
      <c r="DJ26" s="316"/>
      <c r="DK26" s="316"/>
      <c r="DL26" s="316"/>
      <c r="DM26" s="316"/>
      <c r="DN26" s="316"/>
      <c r="DO26" s="316"/>
      <c r="DP26" s="316"/>
      <c r="DQ26" s="316"/>
      <c r="DR26" s="316"/>
      <c r="DS26" s="316"/>
      <c r="DT26" s="317"/>
      <c r="DU26" s="317"/>
      <c r="GG26" s="439">
        <f>+G14</f>
        <v>0</v>
      </c>
      <c r="GH26" s="387">
        <f>IF(GG26&gt;28,"28",ROUND(GG26*0.5,0))</f>
        <v>0</v>
      </c>
      <c r="GI26" s="387"/>
    </row>
    <row r="27" spans="2:192" ht="56.25" customHeight="1" x14ac:dyDescent="0.25">
      <c r="B27" s="847" t="s">
        <v>1165</v>
      </c>
      <c r="C27" s="848"/>
      <c r="D27" s="848"/>
      <c r="E27" s="858" t="s">
        <v>908</v>
      </c>
      <c r="F27" s="416" t="s">
        <v>1201</v>
      </c>
      <c r="G27" s="421" t="s">
        <v>1202</v>
      </c>
      <c r="H27" s="871">
        <v>5</v>
      </c>
      <c r="I27" s="822" t="str">
        <f>IFERROR(+P28,"0")</f>
        <v>0</v>
      </c>
      <c r="K27" s="316"/>
      <c r="L27" s="316"/>
      <c r="M27" s="316"/>
      <c r="N27" s="316"/>
      <c r="O27" s="316"/>
      <c r="P27" s="316"/>
      <c r="Q27" s="316"/>
      <c r="R27" s="316"/>
      <c r="S27" s="316"/>
      <c r="T27" s="316"/>
      <c r="U27" s="316"/>
      <c r="V27" s="316"/>
      <c r="W27" s="316"/>
      <c r="X27" s="316"/>
      <c r="Y27" s="316"/>
      <c r="Z27" s="316"/>
      <c r="AA27" s="316"/>
      <c r="AB27" s="316"/>
      <c r="AC27" s="316"/>
      <c r="AD27" s="316"/>
      <c r="AE27" s="316"/>
      <c r="AF27" s="316"/>
      <c r="AG27" s="316"/>
      <c r="AH27" s="316"/>
      <c r="AI27" s="316"/>
      <c r="AJ27" s="316"/>
      <c r="AK27" s="316"/>
      <c r="AL27" s="316"/>
      <c r="AM27" s="316"/>
      <c r="AN27" s="316"/>
      <c r="AO27" s="316"/>
      <c r="AP27" s="316"/>
      <c r="AQ27" s="316"/>
      <c r="AR27" s="316"/>
      <c r="AS27" s="316"/>
      <c r="AT27" s="316"/>
      <c r="AU27" s="316"/>
      <c r="AV27" s="316"/>
      <c r="AW27" s="316"/>
      <c r="AX27" s="316"/>
      <c r="AY27" s="316"/>
      <c r="AZ27" s="316"/>
      <c r="BA27" s="316"/>
      <c r="BB27" s="316"/>
      <c r="BC27" s="316"/>
      <c r="BD27" s="316"/>
      <c r="BE27" s="316"/>
      <c r="BF27" s="316"/>
      <c r="BG27" s="316"/>
      <c r="BH27" s="316"/>
      <c r="BI27" s="316"/>
      <c r="BJ27" s="316"/>
      <c r="BK27" s="316"/>
      <c r="BL27" s="316"/>
      <c r="BM27" s="316"/>
      <c r="BN27" s="316"/>
      <c r="BO27" s="316"/>
      <c r="BP27" s="316"/>
      <c r="BQ27" s="316"/>
      <c r="BR27" s="316"/>
      <c r="BS27" s="316"/>
      <c r="BT27" s="316"/>
      <c r="BU27" s="316"/>
      <c r="BV27" s="316"/>
      <c r="BW27" s="316"/>
      <c r="BX27" s="316"/>
      <c r="BY27" s="316"/>
      <c r="BZ27" s="316"/>
      <c r="CA27" s="316"/>
      <c r="CB27" s="316"/>
      <c r="CC27" s="316"/>
      <c r="CD27" s="316"/>
      <c r="CE27" s="316"/>
      <c r="CF27" s="316"/>
      <c r="CG27" s="316"/>
      <c r="CH27" s="316"/>
      <c r="CI27" s="316"/>
      <c r="CJ27" s="316"/>
      <c r="CK27" s="316"/>
      <c r="CL27" s="316"/>
      <c r="CM27" s="316"/>
      <c r="CN27" s="316"/>
      <c r="CO27" s="316"/>
      <c r="CP27" s="316"/>
      <c r="CQ27" s="316"/>
      <c r="CR27" s="316"/>
      <c r="CS27" s="316"/>
      <c r="CT27" s="316"/>
      <c r="CU27" s="316"/>
      <c r="CV27" s="316"/>
      <c r="CW27" s="316"/>
      <c r="CX27" s="316"/>
      <c r="CY27" s="316"/>
      <c r="CZ27" s="316"/>
      <c r="DA27" s="316"/>
      <c r="DB27" s="316"/>
      <c r="DC27" s="316"/>
      <c r="DD27" s="316"/>
      <c r="DE27" s="316"/>
      <c r="DF27" s="316"/>
      <c r="DG27" s="316"/>
      <c r="DH27" s="316"/>
      <c r="DI27" s="316"/>
      <c r="DJ27" s="316"/>
      <c r="DK27" s="316"/>
      <c r="DL27" s="316"/>
      <c r="DM27" s="316"/>
      <c r="DN27" s="316"/>
      <c r="DO27" s="316"/>
      <c r="DP27" s="316"/>
      <c r="DQ27" s="316"/>
      <c r="DR27" s="316"/>
      <c r="DS27" s="316"/>
      <c r="DT27" s="317"/>
      <c r="DU27" s="317"/>
      <c r="GH27" s="387"/>
      <c r="GI27" s="387"/>
    </row>
    <row r="28" spans="2:192" ht="24" customHeight="1" x14ac:dyDescent="0.25">
      <c r="B28" s="873"/>
      <c r="C28" s="874"/>
      <c r="D28" s="874"/>
      <c r="E28" s="859"/>
      <c r="F28" s="427"/>
      <c r="G28" s="438" t="str">
        <f>IFERROR(+F28*100/'PAS PACCHETTO 4 invest'!M63," ")</f>
        <v xml:space="preserve"> </v>
      </c>
      <c r="H28" s="872"/>
      <c r="I28" s="824"/>
      <c r="K28" s="316"/>
      <c r="L28" s="316"/>
      <c r="M28" s="316"/>
      <c r="N28" s="449"/>
      <c r="O28" s="450" t="e">
        <f>+G28*0.1</f>
        <v>#VALUE!</v>
      </c>
      <c r="P28" s="450" t="e">
        <f>IF(O28&gt;5,"5",ROUND(O28,2))</f>
        <v>#VALUE!</v>
      </c>
      <c r="Q28" s="316"/>
      <c r="R28" s="316"/>
      <c r="S28" s="316"/>
      <c r="T28" s="316"/>
      <c r="U28" s="316"/>
      <c r="V28" s="316"/>
      <c r="W28" s="316"/>
      <c r="X28" s="316"/>
      <c r="Y28" s="316"/>
      <c r="Z28" s="316"/>
      <c r="AA28" s="316"/>
      <c r="AB28" s="316"/>
      <c r="AC28" s="316"/>
      <c r="AD28" s="316"/>
      <c r="AE28" s="316"/>
      <c r="AF28" s="316"/>
      <c r="AG28" s="316"/>
      <c r="AH28" s="316"/>
      <c r="AI28" s="316"/>
      <c r="AJ28" s="316"/>
      <c r="AK28" s="316"/>
      <c r="AL28" s="316"/>
      <c r="AM28" s="316"/>
      <c r="AN28" s="316"/>
      <c r="AO28" s="316"/>
      <c r="AP28" s="316"/>
      <c r="AQ28" s="316"/>
      <c r="AR28" s="316"/>
      <c r="AS28" s="316"/>
      <c r="AT28" s="316"/>
      <c r="AU28" s="316"/>
      <c r="AV28" s="316"/>
      <c r="AW28" s="316"/>
      <c r="AX28" s="316"/>
      <c r="AY28" s="316"/>
      <c r="AZ28" s="316"/>
      <c r="BA28" s="316"/>
      <c r="BB28" s="316"/>
      <c r="BC28" s="316"/>
      <c r="BD28" s="316"/>
      <c r="BE28" s="316"/>
      <c r="BF28" s="316"/>
      <c r="BG28" s="316"/>
      <c r="BH28" s="316"/>
      <c r="BI28" s="316"/>
      <c r="BJ28" s="316"/>
      <c r="BK28" s="316"/>
      <c r="BL28" s="316"/>
      <c r="BM28" s="316"/>
      <c r="BN28" s="316"/>
      <c r="BO28" s="316"/>
      <c r="BP28" s="316"/>
      <c r="BQ28" s="316"/>
      <c r="BR28" s="316"/>
      <c r="BS28" s="316"/>
      <c r="BT28" s="316"/>
      <c r="BU28" s="316"/>
      <c r="BV28" s="316"/>
      <c r="BW28" s="316"/>
      <c r="BX28" s="316"/>
      <c r="BY28" s="316"/>
      <c r="BZ28" s="316"/>
      <c r="CA28" s="316"/>
      <c r="CB28" s="316"/>
      <c r="CC28" s="316"/>
      <c r="CD28" s="316"/>
      <c r="CE28" s="316"/>
      <c r="CF28" s="316"/>
      <c r="CG28" s="316"/>
      <c r="CH28" s="316"/>
      <c r="CI28" s="316"/>
      <c r="CJ28" s="316"/>
      <c r="CK28" s="316"/>
      <c r="CL28" s="316"/>
      <c r="CM28" s="316"/>
      <c r="CN28" s="316"/>
      <c r="CO28" s="316"/>
      <c r="CP28" s="316"/>
      <c r="CQ28" s="316"/>
      <c r="CR28" s="316"/>
      <c r="CS28" s="316"/>
      <c r="CT28" s="316"/>
      <c r="CU28" s="316"/>
      <c r="CV28" s="316"/>
      <c r="CW28" s="316"/>
      <c r="CX28" s="316"/>
      <c r="CY28" s="316"/>
      <c r="CZ28" s="316"/>
      <c r="DA28" s="316"/>
      <c r="DB28" s="316"/>
      <c r="DC28" s="316"/>
      <c r="DD28" s="316"/>
      <c r="DE28" s="316"/>
      <c r="DF28" s="316"/>
      <c r="DG28" s="316"/>
      <c r="DH28" s="316"/>
      <c r="DI28" s="316"/>
      <c r="DJ28" s="316"/>
      <c r="DK28" s="316"/>
      <c r="DL28" s="316"/>
      <c r="DM28" s="316"/>
      <c r="DN28" s="316"/>
      <c r="DO28" s="316"/>
      <c r="DP28" s="316"/>
      <c r="DQ28" s="316"/>
      <c r="DR28" s="316"/>
      <c r="DS28" s="316"/>
      <c r="DT28" s="317"/>
      <c r="DU28" s="317"/>
      <c r="GH28" s="387"/>
      <c r="GI28" s="387"/>
    </row>
    <row r="29" spans="2:192" ht="41.4" customHeight="1" x14ac:dyDescent="0.25">
      <c r="B29" s="825" t="s">
        <v>909</v>
      </c>
      <c r="C29" s="826"/>
      <c r="D29" s="424" t="s">
        <v>910</v>
      </c>
      <c r="E29" s="820" t="s">
        <v>911</v>
      </c>
      <c r="F29" s="416"/>
      <c r="G29" s="421" t="s">
        <v>1202</v>
      </c>
      <c r="H29" s="831">
        <v>10</v>
      </c>
      <c r="I29" s="822">
        <f>IF(GH34&gt;10,"10",GH34)</f>
        <v>0</v>
      </c>
      <c r="DX29" s="318"/>
      <c r="GF29" s="319"/>
      <c r="GG29" s="318"/>
      <c r="GH29" s="812">
        <f>IF(GG33&gt;10,"10",MROUND(GG33,0.5))</f>
        <v>0</v>
      </c>
      <c r="GI29" s="387"/>
      <c r="GJ29" s="387"/>
    </row>
    <row r="30" spans="2:192" ht="51.6" customHeight="1" x14ac:dyDescent="0.25">
      <c r="B30" s="827" t="s">
        <v>912</v>
      </c>
      <c r="C30" s="828"/>
      <c r="D30" s="425"/>
      <c r="E30" s="813"/>
      <c r="F30" s="429"/>
      <c r="G30" s="437" t="str">
        <f>IFERROR(F30*100/$D$15,"0")</f>
        <v>0</v>
      </c>
      <c r="H30" s="832"/>
      <c r="I30" s="823"/>
      <c r="DX30" s="318">
        <f>+G30*0.2</f>
        <v>0</v>
      </c>
      <c r="GF30" s="319"/>
      <c r="GG30" s="318"/>
      <c r="GH30" s="812"/>
      <c r="GI30" s="387"/>
      <c r="GJ30" s="387"/>
    </row>
    <row r="31" spans="2:192" ht="51.6" customHeight="1" x14ac:dyDescent="0.25">
      <c r="B31" s="423" t="s">
        <v>913</v>
      </c>
      <c r="C31" s="407"/>
      <c r="D31" s="425"/>
      <c r="E31" s="813"/>
      <c r="F31" s="429"/>
      <c r="G31" s="437" t="str">
        <f t="shared" ref="G31:G33" si="4">IFERROR(F31*100/$D$15,"0")</f>
        <v>0</v>
      </c>
      <c r="H31" s="832"/>
      <c r="I31" s="823"/>
      <c r="DX31" s="318"/>
      <c r="GF31" s="319"/>
      <c r="GG31" s="318"/>
      <c r="GH31" s="812"/>
      <c r="GI31" s="387"/>
      <c r="GJ31" s="387"/>
    </row>
    <row r="32" spans="2:192" ht="70.2" customHeight="1" x14ac:dyDescent="0.25">
      <c r="B32" s="829" t="s">
        <v>914</v>
      </c>
      <c r="C32" s="830"/>
      <c r="D32" s="426"/>
      <c r="E32" s="813"/>
      <c r="F32" s="429"/>
      <c r="G32" s="437" t="str">
        <f t="shared" si="4"/>
        <v>0</v>
      </c>
      <c r="H32" s="832"/>
      <c r="I32" s="823"/>
      <c r="DX32" s="318">
        <f>+G32*0.2</f>
        <v>0</v>
      </c>
      <c r="GF32" s="319"/>
      <c r="GG32" s="318"/>
      <c r="GH32" s="812"/>
      <c r="GI32" s="387"/>
      <c r="GJ32" s="387"/>
    </row>
    <row r="33" spans="2:192" ht="93.6" customHeight="1" x14ac:dyDescent="0.25">
      <c r="B33" s="829" t="s">
        <v>915</v>
      </c>
      <c r="C33" s="830"/>
      <c r="D33" s="426"/>
      <c r="E33" s="821"/>
      <c r="F33" s="430"/>
      <c r="G33" s="437" t="str">
        <f t="shared" si="4"/>
        <v>0</v>
      </c>
      <c r="H33" s="832"/>
      <c r="I33" s="823"/>
      <c r="K33" s="321"/>
      <c r="L33" s="321"/>
      <c r="M33" s="321"/>
      <c r="N33" s="321"/>
      <c r="O33" s="321"/>
      <c r="P33" s="321"/>
      <c r="Q33" s="321"/>
      <c r="R33" s="321"/>
      <c r="S33" s="321"/>
      <c r="T33" s="321"/>
      <c r="U33" s="321"/>
      <c r="V33" s="321"/>
      <c r="W33" s="321"/>
      <c r="X33" s="321"/>
      <c r="Y33" s="321"/>
      <c r="Z33" s="321"/>
      <c r="AA33" s="321"/>
      <c r="AB33" s="321"/>
      <c r="AC33" s="321"/>
      <c r="AD33" s="321"/>
      <c r="AE33" s="321"/>
      <c r="AF33" s="321"/>
      <c r="AG33" s="321"/>
      <c r="AH33" s="321"/>
      <c r="AI33" s="321"/>
      <c r="AJ33" s="321"/>
      <c r="AK33" s="321"/>
      <c r="AL33" s="321"/>
      <c r="AM33" s="321"/>
      <c r="AN33" s="321"/>
      <c r="AO33" s="321"/>
      <c r="AP33" s="321"/>
      <c r="AQ33" s="321"/>
      <c r="AR33" s="321"/>
      <c r="AS33" s="321"/>
      <c r="AT33" s="321"/>
      <c r="AU33" s="321"/>
      <c r="AV33" s="321"/>
      <c r="AW33" s="321"/>
      <c r="AX33" s="321"/>
      <c r="AY33" s="321"/>
      <c r="AZ33" s="321"/>
      <c r="BA33" s="321"/>
      <c r="BB33" s="321"/>
      <c r="BC33" s="321"/>
      <c r="BD33" s="321"/>
      <c r="BE33" s="321"/>
      <c r="BF33" s="321"/>
      <c r="BG33" s="321"/>
      <c r="BH33" s="321"/>
      <c r="BI33" s="321"/>
      <c r="BJ33" s="321"/>
      <c r="BK33" s="321"/>
      <c r="BL33" s="321"/>
      <c r="BM33" s="321"/>
      <c r="BN33" s="321"/>
      <c r="BO33" s="321"/>
      <c r="BP33" s="321"/>
      <c r="BQ33" s="321"/>
      <c r="BR33" s="321"/>
      <c r="BS33" s="321"/>
      <c r="BT33" s="321"/>
      <c r="BU33" s="321"/>
      <c r="BV33" s="321"/>
      <c r="BW33" s="321"/>
      <c r="BX33" s="321"/>
      <c r="BY33" s="321"/>
      <c r="BZ33" s="321"/>
      <c r="CA33" s="321"/>
      <c r="CB33" s="321"/>
      <c r="CC33" s="321"/>
      <c r="CD33" s="321"/>
      <c r="CE33" s="321"/>
      <c r="CF33" s="321"/>
      <c r="CG33" s="321"/>
      <c r="CH33" s="321"/>
      <c r="CI33" s="321"/>
      <c r="CJ33" s="321"/>
      <c r="CK33" s="321"/>
      <c r="CL33" s="321"/>
      <c r="CM33" s="321"/>
      <c r="CN33" s="321"/>
      <c r="CO33" s="321"/>
      <c r="CP33" s="321"/>
      <c r="CQ33" s="321"/>
      <c r="CR33" s="321"/>
      <c r="CS33" s="321"/>
      <c r="CT33" s="321"/>
      <c r="CU33" s="321"/>
      <c r="CV33" s="321"/>
      <c r="CW33" s="321"/>
      <c r="CX33" s="321"/>
      <c r="CY33" s="321"/>
      <c r="CZ33" s="321"/>
      <c r="DA33" s="321"/>
      <c r="DB33" s="321"/>
      <c r="DC33" s="321"/>
      <c r="DD33" s="321"/>
      <c r="DE33" s="321"/>
      <c r="DF33" s="321"/>
      <c r="DG33" s="321"/>
      <c r="DH33" s="321"/>
      <c r="DI33" s="321"/>
      <c r="DJ33" s="321"/>
      <c r="DK33" s="321"/>
      <c r="DL33" s="321"/>
      <c r="DM33" s="321"/>
      <c r="DN33" s="321"/>
      <c r="DO33" s="321"/>
      <c r="DP33" s="321"/>
      <c r="DQ33" s="321"/>
      <c r="DR33" s="321"/>
      <c r="DS33" s="321"/>
      <c r="DT33" s="322"/>
      <c r="DU33" s="322"/>
      <c r="DX33" s="318">
        <f>+G33*0.2</f>
        <v>0</v>
      </c>
      <c r="GF33" s="318">
        <f>+G33+G32+G30+G31</f>
        <v>0</v>
      </c>
      <c r="GG33" s="318">
        <f>+GF33*0.2</f>
        <v>0</v>
      </c>
      <c r="GH33" s="812"/>
      <c r="GI33" s="387">
        <f>GH29+GH38</f>
        <v>0</v>
      </c>
      <c r="GJ33" s="387">
        <f>IF(GI33&gt;8,"8",GI33)</f>
        <v>0</v>
      </c>
    </row>
    <row r="34" spans="2:192" ht="52.95" customHeight="1" x14ac:dyDescent="0.25">
      <c r="B34" s="825" t="s">
        <v>916</v>
      </c>
      <c r="C34" s="826"/>
      <c r="D34" s="245"/>
      <c r="E34" s="813" t="s">
        <v>917</v>
      </c>
      <c r="F34" s="428" t="s">
        <v>1207</v>
      </c>
      <c r="G34" s="421" t="s">
        <v>1202</v>
      </c>
      <c r="H34" s="832"/>
      <c r="I34" s="823"/>
      <c r="GH34" s="334">
        <f>+GH29+GH38</f>
        <v>0</v>
      </c>
    </row>
    <row r="35" spans="2:192" ht="38.4" customHeight="1" x14ac:dyDescent="0.25">
      <c r="B35" s="829" t="s">
        <v>918</v>
      </c>
      <c r="C35" s="830"/>
      <c r="D35" s="320"/>
      <c r="E35" s="814"/>
      <c r="F35" s="431"/>
      <c r="G35" s="437" t="str">
        <f>IFERROR(F35*100/$D$15,"0")</f>
        <v>0</v>
      </c>
      <c r="H35" s="832"/>
      <c r="I35" s="823"/>
      <c r="DX35" s="318">
        <f>+G35*0.12</f>
        <v>0</v>
      </c>
      <c r="GF35" s="319"/>
      <c r="GG35" s="318"/>
      <c r="GH35" s="387"/>
      <c r="GI35" s="387"/>
      <c r="GJ35" s="387"/>
    </row>
    <row r="36" spans="2:192" ht="38.4" customHeight="1" x14ac:dyDescent="0.25">
      <c r="B36" s="829" t="s">
        <v>919</v>
      </c>
      <c r="C36" s="830"/>
      <c r="D36" s="320"/>
      <c r="E36" s="814"/>
      <c r="F36" s="432"/>
      <c r="G36" s="437" t="str">
        <f t="shared" ref="G36:G38" si="5">IFERROR(F36*100/$D$15,"0")</f>
        <v>0</v>
      </c>
      <c r="H36" s="832"/>
      <c r="I36" s="823"/>
      <c r="DX36" s="318">
        <f>+G36*0.12</f>
        <v>0</v>
      </c>
      <c r="GF36" s="319"/>
      <c r="GG36" s="318"/>
      <c r="GH36" s="387"/>
      <c r="GI36" s="387"/>
      <c r="GJ36" s="387"/>
    </row>
    <row r="37" spans="2:192" ht="38.4" customHeight="1" x14ac:dyDescent="0.25">
      <c r="B37" s="829" t="s">
        <v>920</v>
      </c>
      <c r="C37" s="830"/>
      <c r="D37" s="320"/>
      <c r="E37" s="814"/>
      <c r="F37" s="432"/>
      <c r="G37" s="437" t="str">
        <f t="shared" si="5"/>
        <v>0</v>
      </c>
      <c r="H37" s="832"/>
      <c r="I37" s="823"/>
      <c r="DX37" s="318">
        <f>+G37*0.12</f>
        <v>0</v>
      </c>
      <c r="GF37" s="319"/>
      <c r="GG37" s="318"/>
      <c r="GH37" s="387"/>
      <c r="GI37" s="387"/>
      <c r="GJ37" s="387"/>
    </row>
    <row r="38" spans="2:192" ht="38.4" customHeight="1" x14ac:dyDescent="0.25">
      <c r="B38" s="829" t="s">
        <v>921</v>
      </c>
      <c r="C38" s="830"/>
      <c r="D38" s="320"/>
      <c r="E38" s="815"/>
      <c r="F38" s="432"/>
      <c r="G38" s="437" t="str">
        <f t="shared" si="5"/>
        <v>0</v>
      </c>
      <c r="H38" s="833"/>
      <c r="I38" s="824"/>
      <c r="DX38" s="318">
        <f>+G38*0.12</f>
        <v>0</v>
      </c>
      <c r="GF38" s="318">
        <f>+G35+G36+G37+G38</f>
        <v>0</v>
      </c>
      <c r="GG38" s="318">
        <f>+GF38*0.12</f>
        <v>0</v>
      </c>
      <c r="GH38" s="387">
        <f>IF(GG38&gt;10,"10",MROUND(GG38,0.5))</f>
        <v>0</v>
      </c>
      <c r="GI38" s="387"/>
      <c r="GJ38" s="387"/>
    </row>
    <row r="40" spans="2:192" ht="17.399999999999999" x14ac:dyDescent="0.25">
      <c r="B40" s="816" t="str">
        <f>IF(I40&gt;16,"PUNTEGGIO MIS 4.1 CONFORME AL MINIMO PREVISTO DAL BANDO",IF(I40=16,"PUNTEGGIO CONFORME AL MINIMO PREVISTO DAL BANDO",IF(I40&lt;16,"NON AMMISSIBILE - SOGLIA MINIMA DI PUNTEGGIO NON RAGGIUNTA")))</f>
        <v>NON AMMISSIBILE - SOGLIA MINIMA DI PUNTEGGIO NON RAGGIUNTA</v>
      </c>
      <c r="C40" s="816"/>
      <c r="D40" s="816"/>
      <c r="E40" s="816"/>
      <c r="F40" s="816"/>
      <c r="G40" s="816"/>
      <c r="H40" s="816"/>
      <c r="I40" s="323">
        <f>+I29+I27+I14+I11+I10+I9+I7+I7+I5+I4</f>
        <v>15</v>
      </c>
    </row>
    <row r="43" spans="2:192" ht="27.6" x14ac:dyDescent="0.25">
      <c r="B43" s="817" t="s">
        <v>884</v>
      </c>
      <c r="C43" s="817"/>
      <c r="D43" s="817"/>
      <c r="E43" s="818" t="s">
        <v>885</v>
      </c>
      <c r="F43" s="818"/>
      <c r="G43" s="819"/>
      <c r="H43" s="325" t="s">
        <v>900</v>
      </c>
      <c r="I43" s="325" t="s">
        <v>446</v>
      </c>
    </row>
    <row r="44" spans="2:192" ht="60" customHeight="1" x14ac:dyDescent="0.25">
      <c r="B44" s="835" t="s">
        <v>887</v>
      </c>
      <c r="C44" s="836"/>
      <c r="D44" s="837"/>
      <c r="E44" s="885" t="s">
        <v>923</v>
      </c>
      <c r="F44" s="886"/>
      <c r="G44" s="861"/>
      <c r="H44" s="864">
        <v>10</v>
      </c>
      <c r="I44" s="867" t="str">
        <f>IF(G44="a","3",IF(G44="b","6",IF(G44="C","10","0")))</f>
        <v>0</v>
      </c>
    </row>
    <row r="45" spans="2:192" ht="20.25" customHeight="1" x14ac:dyDescent="0.25">
      <c r="B45" s="368"/>
      <c r="C45" s="408"/>
      <c r="D45" s="370" t="s">
        <v>977</v>
      </c>
      <c r="E45" s="887"/>
      <c r="F45" s="887"/>
      <c r="G45" s="862"/>
      <c r="H45" s="865"/>
      <c r="I45" s="868"/>
    </row>
    <row r="46" spans="2:192" ht="20.25" customHeight="1" x14ac:dyDescent="0.25">
      <c r="B46" s="369"/>
      <c r="C46" s="409"/>
      <c r="D46" s="371" t="s">
        <v>977</v>
      </c>
      <c r="E46" s="892"/>
      <c r="F46" s="893"/>
      <c r="G46" s="863"/>
      <c r="H46" s="866"/>
      <c r="I46" s="869"/>
    </row>
    <row r="47" spans="2:192" ht="120" customHeight="1" x14ac:dyDescent="0.25">
      <c r="B47" s="838" t="s">
        <v>888</v>
      </c>
      <c r="C47" s="839"/>
      <c r="D47" s="840"/>
      <c r="E47" s="894" t="s">
        <v>924</v>
      </c>
      <c r="F47" s="895"/>
      <c r="G47" s="352"/>
      <c r="H47" s="324">
        <v>25</v>
      </c>
      <c r="I47" s="327" t="str">
        <f>IF(G47="a",25,IF(G47="b",20,IF(G47="c",17,IF(G47="d",15,IF(G47="e","12","0")))))</f>
        <v>0</v>
      </c>
    </row>
    <row r="48" spans="2:192" ht="40.200000000000003" customHeight="1" x14ac:dyDescent="0.25">
      <c r="B48" s="841" t="s">
        <v>889</v>
      </c>
      <c r="C48" s="842"/>
      <c r="D48" s="843"/>
      <c r="E48" s="896" t="s">
        <v>1208</v>
      </c>
      <c r="F48" s="896"/>
      <c r="G48" s="343">
        <f>IFERROR('PAS 2 calc prod stand'!G58*100," ")</f>
        <v>0</v>
      </c>
      <c r="H48" s="324">
        <v>20</v>
      </c>
      <c r="I48" s="327">
        <f>IF(G48=" ","0",IF(G48&gt;20,"20",G48))</f>
        <v>0</v>
      </c>
    </row>
    <row r="49" spans="2:9" ht="45" customHeight="1" x14ac:dyDescent="0.25">
      <c r="B49" s="841" t="s">
        <v>1164</v>
      </c>
      <c r="C49" s="843"/>
      <c r="D49" s="353">
        <v>1</v>
      </c>
      <c r="E49" s="897" t="s">
        <v>886</v>
      </c>
      <c r="F49" s="898"/>
      <c r="G49" s="433">
        <f>+D49</f>
        <v>1</v>
      </c>
      <c r="H49" s="324">
        <v>10</v>
      </c>
      <c r="I49" s="327" t="str">
        <f>IF(D49=1,"5",IF(D49="2 e oltre","10"," 0"))</f>
        <v>5</v>
      </c>
    </row>
    <row r="50" spans="2:9" ht="27.6" customHeight="1" x14ac:dyDescent="0.25">
      <c r="B50" s="844" t="s">
        <v>890</v>
      </c>
      <c r="C50" s="845"/>
      <c r="D50" s="846"/>
      <c r="E50" s="844" t="s">
        <v>891</v>
      </c>
      <c r="F50" s="846"/>
      <c r="G50" s="352" t="s">
        <v>1205</v>
      </c>
      <c r="H50" s="324">
        <v>10</v>
      </c>
      <c r="I50" s="327" t="str">
        <f>IF(G50="si","10","0")</f>
        <v>0</v>
      </c>
    </row>
    <row r="52" spans="2:9" ht="17.399999999999999" x14ac:dyDescent="0.25">
      <c r="B52" s="816" t="str">
        <f>IF(I52&gt;16,"PUNTEGGIO MIS 6.1 CONFORME AL MINIMO PREVISTO DAL BANDO",IF(I52=16,"PUNTEGGIO CONFORME AL MINIMO PREVISTO DAL BANDO",IF(I52&lt;16,"NON AMMISSIBILE - SOGLIA MINIMA DI PUNTEGGIO NON RAGGIUNTA")))</f>
        <v>NON AMMISSIBILE - SOGLIA MINIMA DI PUNTEGGIO NON RAGGIUNTA</v>
      </c>
      <c r="C52" s="816"/>
      <c r="D52" s="816"/>
      <c r="E52" s="816"/>
      <c r="F52" s="816"/>
      <c r="G52" s="816"/>
      <c r="H52" s="816"/>
      <c r="I52" s="326">
        <f>IFERROR(+I50+I49+I48+I47+I44," ")</f>
        <v>5</v>
      </c>
    </row>
    <row r="54" spans="2:9" ht="17.399999999999999" customHeight="1" x14ac:dyDescent="0.3">
      <c r="H54" s="346" t="s">
        <v>954</v>
      </c>
      <c r="I54" s="345">
        <f>IFERROR(+I52+I40, )</f>
        <v>20</v>
      </c>
    </row>
    <row r="55" spans="2:9" x14ac:dyDescent="0.25">
      <c r="I55" s="354"/>
    </row>
  </sheetData>
  <sheetProtection algorithmName="SHA-512" hashValue="p5TvLIekyKZecUIu1l9SyA/JzOEVuoDCI8YkbL+HkJuX+LJF90jU36bKaMWJDWKc5SqauOKx6rgFuiKwPWhzRQ==" saltValue="AQAuD7Rd0Zme2DZ4I/cYcw==" spinCount="100000" sheet="1" formatCells="0" formatColumns="0" formatRows="0" insertColumns="0" insertRows="0" insertHyperlinks="0" deleteColumns="0" deleteRows="0" sort="0" autoFilter="0" pivotTables="0"/>
  <mergeCells count="67">
    <mergeCell ref="E50:F50"/>
    <mergeCell ref="E5:F6"/>
    <mergeCell ref="E7:F8"/>
    <mergeCell ref="E46:F46"/>
    <mergeCell ref="E47:F47"/>
    <mergeCell ref="E48:F48"/>
    <mergeCell ref="E49:F49"/>
    <mergeCell ref="B15:C15"/>
    <mergeCell ref="E14:F26"/>
    <mergeCell ref="B49:C49"/>
    <mergeCell ref="B36:C36"/>
    <mergeCell ref="B37:C37"/>
    <mergeCell ref="B38:C38"/>
    <mergeCell ref="E44:F44"/>
    <mergeCell ref="E45:F45"/>
    <mergeCell ref="G44:G46"/>
    <mergeCell ref="H44:H46"/>
    <mergeCell ref="I44:I46"/>
    <mergeCell ref="A5:A6"/>
    <mergeCell ref="A7:A8"/>
    <mergeCell ref="H7:H8"/>
    <mergeCell ref="E27:E28"/>
    <mergeCell ref="H27:H28"/>
    <mergeCell ref="I27:I28"/>
    <mergeCell ref="B28:D28"/>
    <mergeCell ref="H11:H13"/>
    <mergeCell ref="I11:I13"/>
    <mergeCell ref="B14:D14"/>
    <mergeCell ref="G14:G26"/>
    <mergeCell ref="H14:H26"/>
    <mergeCell ref="I14:I26"/>
    <mergeCell ref="K5:L6"/>
    <mergeCell ref="K8:L8"/>
    <mergeCell ref="B52:H52"/>
    <mergeCell ref="B44:D44"/>
    <mergeCell ref="B47:D47"/>
    <mergeCell ref="B48:D48"/>
    <mergeCell ref="B50:D50"/>
    <mergeCell ref="B27:D27"/>
    <mergeCell ref="B9:D9"/>
    <mergeCell ref="E9:G9"/>
    <mergeCell ref="B10:D10"/>
    <mergeCell ref="E10:G10"/>
    <mergeCell ref="B7:D8"/>
    <mergeCell ref="I7:I8"/>
    <mergeCell ref="B11:D13"/>
    <mergeCell ref="E11:E13"/>
    <mergeCell ref="GH29:GH33"/>
    <mergeCell ref="E34:E38"/>
    <mergeCell ref="B40:H40"/>
    <mergeCell ref="B43:D43"/>
    <mergeCell ref="E43:G43"/>
    <mergeCell ref="E29:E33"/>
    <mergeCell ref="I29:I38"/>
    <mergeCell ref="B29:C29"/>
    <mergeCell ref="B30:C30"/>
    <mergeCell ref="B32:C32"/>
    <mergeCell ref="B33:C33"/>
    <mergeCell ref="B34:C34"/>
    <mergeCell ref="B35:C35"/>
    <mergeCell ref="H29:H38"/>
    <mergeCell ref="B1:I1"/>
    <mergeCell ref="B3:D3"/>
    <mergeCell ref="B4:D4"/>
    <mergeCell ref="B5:D6"/>
    <mergeCell ref="H5:H6"/>
    <mergeCell ref="I5:I6"/>
  </mergeCells>
  <conditionalFormatting sqref="B40:D40">
    <cfRule type="cellIs" dxfId="24" priority="35" stopIfTrue="1" operator="equal">
      <formula>"NON AMMISSIBILE - SOGLIA MINIMA DI PUNTEGGIO NON RAGGIUNTA"</formula>
    </cfRule>
    <cfRule type="cellIs" dxfId="23" priority="36" stopIfTrue="1" operator="equal">
      <formula>"PUNTEGGIO MIS 4.1 CONFORME AL MINIMO PREVISTO DAL BANDO"</formula>
    </cfRule>
  </conditionalFormatting>
  <conditionalFormatting sqref="I40">
    <cfRule type="cellIs" dxfId="22" priority="7" operator="equal">
      <formula>-5</formula>
    </cfRule>
    <cfRule type="cellIs" dxfId="21" priority="33" stopIfTrue="1" operator="lessThan">
      <formula>16</formula>
    </cfRule>
    <cfRule type="cellIs" dxfId="20" priority="34" stopIfTrue="1" operator="greaterThanOrEqual">
      <formula>16</formula>
    </cfRule>
  </conditionalFormatting>
  <conditionalFormatting sqref="K8">
    <cfRule type="cellIs" dxfId="19" priority="30" stopIfTrue="1" operator="equal">
      <formula>"L'AUMENTO DI PS NON E' CONFORME AL BANDO, DEVE ESSERE SUPERIORE AL 10%"</formula>
    </cfRule>
  </conditionalFormatting>
  <conditionalFormatting sqref="K5 M5:DY6">
    <cfRule type="cellIs" dxfId="18" priority="24" operator="equal">
      <formula>"NON ASSEGNA PUNTEGGIO, NON SODDISFATTO IL REQUISITO DEL BANDO RECUPERO TERRENI OLTRE 10%"</formula>
    </cfRule>
  </conditionalFormatting>
  <conditionalFormatting sqref="K5:L6">
    <cfRule type="cellIs" dxfId="17" priority="23" operator="equal">
      <formula>"SODDISFATTO IL REQUISITO DEL BANDO"</formula>
    </cfRule>
  </conditionalFormatting>
  <conditionalFormatting sqref="I48">
    <cfRule type="cellIs" dxfId="16" priority="22" operator="equal">
      <formula>0</formula>
    </cfRule>
  </conditionalFormatting>
  <conditionalFormatting sqref="I52">
    <cfRule type="cellIs" dxfId="15" priority="21" operator="greaterThan">
      <formula>16</formula>
    </cfRule>
  </conditionalFormatting>
  <conditionalFormatting sqref="B52:D52">
    <cfRule type="cellIs" dxfId="14" priority="19" stopIfTrue="1" operator="equal">
      <formula>"NON AMMISSIBILE - SOGLIA MINIMA DI PUNTEGGIO NON RAGGIUNTA"</formula>
    </cfRule>
    <cfRule type="cellIs" dxfId="13" priority="20" stopIfTrue="1" operator="equal">
      <formula>"PUNTEGGIO MIS 4.1 CONFORME AL MINIMO PREVISTO DAL BANDO"</formula>
    </cfRule>
  </conditionalFormatting>
  <conditionalFormatting sqref="B52:H52">
    <cfRule type="cellIs" dxfId="12" priority="18" operator="equal">
      <formula>"PUNTEGGIO MIS 6.1 CONFORME AL MINIMO PREVISTO DAL BANDO"</formula>
    </cfRule>
  </conditionalFormatting>
  <conditionalFormatting sqref="I54">
    <cfRule type="cellIs" dxfId="11" priority="6" operator="equal">
      <formula>-5</formula>
    </cfRule>
    <cfRule type="cellIs" dxfId="10" priority="17" operator="equal">
      <formula>0</formula>
    </cfRule>
  </conditionalFormatting>
  <conditionalFormatting sqref="G49">
    <cfRule type="cellIs" dxfId="9" priority="16" operator="equal">
      <formula>0</formula>
    </cfRule>
  </conditionalFormatting>
  <conditionalFormatting sqref="I49">
    <cfRule type="cellIs" dxfId="8" priority="14" operator="equal">
      <formula>0</formula>
    </cfRule>
  </conditionalFormatting>
  <conditionalFormatting sqref="D15">
    <cfRule type="expression" dxfId="7" priority="49">
      <formula>IF($C$16&gt;$D$15,"ERRORE")</formula>
    </cfRule>
  </conditionalFormatting>
  <conditionalFormatting sqref="D16">
    <cfRule type="cellIs" dxfId="6" priority="8" operator="equal">
      <formula>"CONFORME"</formula>
    </cfRule>
    <cfRule type="cellIs" dxfId="5" priority="11" operator="equal">
      <formula>"VERIFICA I DATI IMMESSI"</formula>
    </cfRule>
  </conditionalFormatting>
  <conditionalFormatting sqref="D18:D26">
    <cfRule type="cellIs" dxfId="4" priority="9" operator="equal">
      <formula>0</formula>
    </cfRule>
  </conditionalFormatting>
  <conditionalFormatting sqref="K8:L8">
    <cfRule type="cellIs" dxfId="3" priority="1" operator="equal">
      <formula>"OK CONFORME AL BANDO"</formula>
    </cfRule>
    <cfRule type="cellIs" dxfId="2" priority="5" operator="equal">
      <formula>0</formula>
    </cfRule>
  </conditionalFormatting>
  <dataValidations count="6">
    <dataValidation type="list" allowBlank="1" showInputMessage="1" showErrorMessage="1" sqref="I9">
      <formula1>"10,5,0"</formula1>
    </dataValidation>
    <dataValidation type="list" allowBlank="1" showInputMessage="1" showErrorMessage="1" sqref="D30:D33 D35:D38">
      <formula1>"si,"</formula1>
    </dataValidation>
    <dataValidation type="list" allowBlank="1" showInputMessage="1" showErrorMessage="1" sqref="G44">
      <formula1>"a,b,c"</formula1>
    </dataValidation>
    <dataValidation type="list" allowBlank="1" showInputMessage="1" showErrorMessage="1" sqref="G47">
      <formula1>"a,b,c,d,e"</formula1>
    </dataValidation>
    <dataValidation type="list" allowBlank="1" showInputMessage="1" showErrorMessage="1" sqref="D49">
      <formula1>"1,2 e oltre"</formula1>
    </dataValidation>
    <dataValidation type="list" allowBlank="1" showInputMessage="1" showErrorMessage="1" sqref="G50">
      <formula1>"SI,NO"</formula1>
    </dataValidation>
  </dataValidations>
  <pageMargins left="0.51181102362204722" right="0.27559055118110237" top="0.59055118110236227" bottom="0.51181102362204722" header="0.31496062992125984" footer="0.31496062992125984"/>
  <pageSetup paperSize="9" scale="49" fitToHeight="2" orientation="portrait" blackAndWhite="1" r:id="rId1"/>
  <headerFooter>
    <oddHeader>&amp;C&amp;14Regione Liguria - Piano Aziendale di Sviluppo&amp;RPACCHETTO GIOVANI SOTTOMISURE 4.1 e 6.1</oddHeader>
    <oddFooter>&amp;C&amp;A&amp;Rpag 6</oddFooter>
  </headerFooter>
  <rowBreaks count="1" manualBreakCount="1">
    <brk id="41" max="8"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A58"/>
  <sheetViews>
    <sheetView showGridLines="0" tabSelected="1" view="pageBreakPreview" zoomScale="50" zoomScaleNormal="50" zoomScaleSheetLayoutView="50" zoomScalePageLayoutView="50" workbookViewId="0">
      <selection activeCell="B3" sqref="B3:D3"/>
    </sheetView>
  </sheetViews>
  <sheetFormatPr defaultColWidth="9.109375" defaultRowHeight="20.25" customHeight="1" x14ac:dyDescent="0.3"/>
  <cols>
    <col min="1" max="1" width="9" style="91" customWidth="1"/>
    <col min="2" max="2" width="180.88671875" style="77" customWidth="1"/>
    <col min="3" max="3" width="57.44140625" style="77" customWidth="1"/>
    <col min="4" max="4" width="53.33203125" style="77" customWidth="1"/>
    <col min="5" max="5" width="5.6640625" style="77" customWidth="1"/>
    <col min="6" max="16384" width="9.109375" style="77"/>
  </cols>
  <sheetData>
    <row r="1" spans="1:79" ht="74.25" customHeight="1" x14ac:dyDescent="0.3">
      <c r="A1" s="903" t="s">
        <v>182</v>
      </c>
      <c r="B1" s="903"/>
      <c r="C1" s="903"/>
      <c r="D1" s="903"/>
    </row>
    <row r="2" spans="1:79" s="79" customFormat="1" ht="70.95" customHeight="1" x14ac:dyDescent="0.45">
      <c r="A2" s="78"/>
      <c r="B2" s="202" t="s">
        <v>951</v>
      </c>
      <c r="C2" s="906">
        <f>+'PAS PACCHETTO 1 anagraf'!J24</f>
        <v>0</v>
      </c>
      <c r="D2" s="907"/>
    </row>
    <row r="3" spans="1:79" s="79" customFormat="1" ht="43.5" customHeight="1" x14ac:dyDescent="0.45">
      <c r="A3" s="78"/>
      <c r="B3" s="908"/>
      <c r="C3" s="908"/>
      <c r="D3" s="908"/>
    </row>
    <row r="4" spans="1:79" s="80" customFormat="1" ht="39" customHeight="1" x14ac:dyDescent="0.6">
      <c r="A4" s="287" t="s">
        <v>187</v>
      </c>
      <c r="B4" s="82"/>
      <c r="C4" s="82"/>
      <c r="D4" s="82"/>
      <c r="BN4" s="81"/>
      <c r="BO4" s="81"/>
      <c r="BP4" s="81"/>
      <c r="BQ4" s="81"/>
      <c r="BR4" s="81"/>
      <c r="BS4" s="81"/>
      <c r="BT4" s="81"/>
      <c r="BU4" s="81"/>
      <c r="BV4" s="81"/>
      <c r="BW4" s="81"/>
      <c r="BX4" s="81"/>
      <c r="BY4" s="81"/>
      <c r="BZ4" s="81"/>
      <c r="CA4" s="81"/>
    </row>
    <row r="5" spans="1:79" s="79" customFormat="1" ht="150" customHeight="1" x14ac:dyDescent="0.45">
      <c r="A5" s="78"/>
      <c r="B5" s="899" t="s">
        <v>188</v>
      </c>
      <c r="C5" s="900"/>
      <c r="D5" s="901"/>
    </row>
    <row r="6" spans="1:79" s="80" customFormat="1" ht="39" customHeight="1" x14ac:dyDescent="0.6">
      <c r="A6" s="287" t="s">
        <v>156</v>
      </c>
      <c r="B6" s="83"/>
      <c r="C6" s="84"/>
      <c r="D6" s="83"/>
      <c r="BN6" s="81"/>
      <c r="BO6" s="81"/>
      <c r="BP6" s="81"/>
      <c r="BQ6" s="81"/>
      <c r="BR6" s="81"/>
      <c r="BS6" s="81"/>
      <c r="BT6" s="81"/>
      <c r="BU6" s="81"/>
      <c r="BV6" s="81"/>
      <c r="BW6" s="81"/>
      <c r="BX6" s="81"/>
      <c r="BY6" s="81"/>
      <c r="BZ6" s="81"/>
      <c r="CA6" s="81"/>
    </row>
    <row r="7" spans="1:79" s="79" customFormat="1" ht="150" customHeight="1" x14ac:dyDescent="0.4">
      <c r="A7" s="85"/>
      <c r="B7" s="899" t="s">
        <v>284</v>
      </c>
      <c r="C7" s="900"/>
      <c r="D7" s="901"/>
    </row>
    <row r="8" spans="1:79" s="80" customFormat="1" ht="39" customHeight="1" x14ac:dyDescent="0.6">
      <c r="A8" s="287" t="s">
        <v>183</v>
      </c>
      <c r="B8" s="83"/>
      <c r="C8" s="84"/>
      <c r="D8" s="83"/>
      <c r="BN8" s="81"/>
      <c r="BO8" s="81"/>
      <c r="BP8" s="81"/>
      <c r="BQ8" s="81"/>
      <c r="BR8" s="81"/>
      <c r="BS8" s="81"/>
      <c r="BT8" s="81"/>
      <c r="BU8" s="81"/>
      <c r="BV8" s="81"/>
      <c r="BW8" s="81"/>
      <c r="BX8" s="81"/>
      <c r="BY8" s="81"/>
      <c r="BZ8" s="81"/>
      <c r="CA8" s="81"/>
    </row>
    <row r="9" spans="1:79" s="79" customFormat="1" ht="150" customHeight="1" x14ac:dyDescent="0.4">
      <c r="A9" s="85"/>
      <c r="B9" s="899" t="s">
        <v>245</v>
      </c>
      <c r="C9" s="900"/>
      <c r="D9" s="901"/>
    </row>
    <row r="10" spans="1:79" s="80" customFormat="1" ht="39" customHeight="1" x14ac:dyDescent="0.6">
      <c r="A10" s="287" t="s">
        <v>184</v>
      </c>
      <c r="B10" s="83"/>
      <c r="C10" s="84"/>
      <c r="D10" s="83"/>
      <c r="BN10" s="81"/>
      <c r="BO10" s="81"/>
      <c r="BP10" s="81"/>
      <c r="BQ10" s="81"/>
      <c r="BR10" s="81"/>
      <c r="BS10" s="81"/>
      <c r="BT10" s="81"/>
      <c r="BU10" s="81"/>
      <c r="BV10" s="81"/>
      <c r="BW10" s="81"/>
      <c r="BX10" s="81"/>
      <c r="BY10" s="81"/>
      <c r="BZ10" s="81"/>
      <c r="CA10" s="81"/>
    </row>
    <row r="11" spans="1:79" s="79" customFormat="1" ht="34.200000000000003" customHeight="1" x14ac:dyDescent="0.4">
      <c r="A11" s="85"/>
      <c r="B11" s="183" t="s">
        <v>246</v>
      </c>
      <c r="C11" s="289" t="s">
        <v>467</v>
      </c>
      <c r="D11" s="288">
        <f>+'PAS 2 calc prod stand'!I56</f>
        <v>0</v>
      </c>
    </row>
    <row r="12" spans="1:79" s="80" customFormat="1" ht="39" customHeight="1" x14ac:dyDescent="0.6">
      <c r="A12" s="287" t="s">
        <v>185</v>
      </c>
      <c r="B12" s="83"/>
      <c r="C12" s="84"/>
      <c r="D12" s="83"/>
      <c r="BN12" s="81"/>
      <c r="BO12" s="81"/>
      <c r="BP12" s="81"/>
      <c r="BQ12" s="81"/>
      <c r="BR12" s="81"/>
      <c r="BS12" s="81"/>
      <c r="BT12" s="81"/>
      <c r="BU12" s="81"/>
      <c r="BV12" s="81"/>
      <c r="BW12" s="81"/>
      <c r="BX12" s="81"/>
      <c r="BY12" s="81"/>
      <c r="BZ12" s="81"/>
      <c r="CA12" s="81"/>
    </row>
    <row r="13" spans="1:79" s="79" customFormat="1" ht="150" customHeight="1" x14ac:dyDescent="0.4">
      <c r="A13" s="85"/>
      <c r="B13" s="899" t="s">
        <v>296</v>
      </c>
      <c r="C13" s="900"/>
      <c r="D13" s="901"/>
    </row>
    <row r="14" spans="1:79" s="79" customFormat="1" ht="29.4" customHeight="1" x14ac:dyDescent="0.45">
      <c r="A14" s="78"/>
      <c r="B14" s="290" t="s">
        <v>423</v>
      </c>
      <c r="C14" s="184"/>
      <c r="D14" s="184"/>
    </row>
    <row r="15" spans="1:79" s="79" customFormat="1" ht="150" customHeight="1" x14ac:dyDescent="0.45">
      <c r="A15" s="78"/>
      <c r="B15" s="899" t="s">
        <v>424</v>
      </c>
      <c r="C15" s="900"/>
      <c r="D15" s="901"/>
    </row>
    <row r="16" spans="1:79" s="79" customFormat="1" ht="28.2" customHeight="1" x14ac:dyDescent="0.4">
      <c r="A16" s="184"/>
      <c r="B16" s="290" t="s">
        <v>425</v>
      </c>
      <c r="C16" s="184"/>
      <c r="D16" s="184"/>
    </row>
    <row r="17" spans="1:79" s="79" customFormat="1" ht="150" customHeight="1" x14ac:dyDescent="0.4">
      <c r="A17" s="85"/>
      <c r="B17" s="899" t="s">
        <v>426</v>
      </c>
      <c r="C17" s="900"/>
      <c r="D17" s="901"/>
    </row>
    <row r="18" spans="1:79" s="80" customFormat="1" ht="39" customHeight="1" x14ac:dyDescent="0.6">
      <c r="A18" s="287" t="s">
        <v>952</v>
      </c>
      <c r="B18" s="83"/>
      <c r="C18" s="84"/>
      <c r="D18" s="83"/>
      <c r="BN18" s="81"/>
      <c r="BO18" s="81"/>
      <c r="BP18" s="81"/>
      <c r="BQ18" s="81"/>
      <c r="BR18" s="81"/>
      <c r="BS18" s="81"/>
      <c r="BT18" s="81"/>
      <c r="BU18" s="81"/>
      <c r="BV18" s="81"/>
      <c r="BW18" s="81"/>
      <c r="BX18" s="81"/>
      <c r="BY18" s="81"/>
      <c r="BZ18" s="81"/>
      <c r="CA18" s="81"/>
    </row>
    <row r="19" spans="1:79" s="79" customFormat="1" ht="150" customHeight="1" x14ac:dyDescent="0.4">
      <c r="A19" s="85"/>
      <c r="B19" s="899" t="s">
        <v>297</v>
      </c>
      <c r="C19" s="900"/>
      <c r="D19" s="901"/>
    </row>
    <row r="20" spans="1:79" s="80" customFormat="1" ht="39" customHeight="1" x14ac:dyDescent="0.6">
      <c r="A20" s="287" t="s">
        <v>263</v>
      </c>
      <c r="B20" s="83"/>
      <c r="C20" s="84"/>
      <c r="D20" s="83"/>
      <c r="BN20" s="81"/>
      <c r="BO20" s="81"/>
      <c r="BP20" s="81"/>
      <c r="BQ20" s="81"/>
      <c r="BR20" s="81"/>
      <c r="BS20" s="81"/>
      <c r="BT20" s="81"/>
      <c r="BU20" s="81"/>
      <c r="BV20" s="81"/>
      <c r="BW20" s="81"/>
      <c r="BX20" s="81"/>
      <c r="BY20" s="81"/>
      <c r="BZ20" s="81"/>
      <c r="CA20" s="81"/>
    </row>
    <row r="21" spans="1:79" s="87" customFormat="1" ht="35.4" x14ac:dyDescent="0.55000000000000004">
      <c r="A21" s="86"/>
      <c r="B21" s="905" t="s">
        <v>867</v>
      </c>
      <c r="C21" s="905"/>
      <c r="D21" s="905"/>
      <c r="E21" s="88"/>
      <c r="F21" s="88"/>
      <c r="G21" s="88"/>
      <c r="H21" s="88"/>
      <c r="I21" s="88"/>
      <c r="J21" s="88"/>
      <c r="K21" s="88"/>
      <c r="L21" s="88"/>
      <c r="M21" s="88"/>
      <c r="N21" s="88"/>
      <c r="O21" s="88"/>
      <c r="P21" s="88"/>
      <c r="Q21" s="88"/>
      <c r="R21" s="88"/>
      <c r="S21" s="88"/>
      <c r="T21" s="88"/>
      <c r="U21" s="88"/>
      <c r="V21" s="88"/>
      <c r="W21" s="88"/>
      <c r="X21" s="88"/>
      <c r="Y21" s="88"/>
      <c r="Z21" s="88"/>
      <c r="AA21" s="88"/>
      <c r="AB21" s="88"/>
      <c r="AC21" s="88"/>
      <c r="AD21" s="88"/>
      <c r="AE21" s="88"/>
      <c r="AF21" s="88"/>
      <c r="AG21" s="88"/>
      <c r="AH21" s="88"/>
      <c r="AI21" s="88"/>
      <c r="AJ21" s="88"/>
      <c r="AK21" s="88"/>
    </row>
    <row r="22" spans="1:79" s="79" customFormat="1" ht="150" customHeight="1" x14ac:dyDescent="0.4">
      <c r="A22" s="185"/>
      <c r="B22" s="899" t="s">
        <v>298</v>
      </c>
      <c r="C22" s="900"/>
      <c r="D22" s="901"/>
    </row>
    <row r="23" spans="1:79" ht="36.6" customHeight="1" x14ac:dyDescent="0.3">
      <c r="B23" s="905" t="s">
        <v>292</v>
      </c>
      <c r="C23" s="905"/>
      <c r="D23" s="905"/>
    </row>
    <row r="24" spans="1:79" s="79" customFormat="1" ht="150" customHeight="1" x14ac:dyDescent="0.45">
      <c r="A24" s="78"/>
      <c r="B24" s="899" t="s">
        <v>869</v>
      </c>
      <c r="C24" s="900"/>
      <c r="D24" s="901"/>
    </row>
    <row r="25" spans="1:79" s="51" customFormat="1" ht="30" x14ac:dyDescent="0.4">
      <c r="A25" s="287" t="s">
        <v>186</v>
      </c>
      <c r="B25" s="186"/>
      <c r="C25" s="348" t="s">
        <v>955</v>
      </c>
      <c r="D25" s="349">
        <f>+'PAS PACCHETTO 4 invest'!M63</f>
        <v>0</v>
      </c>
      <c r="BN25" s="188"/>
      <c r="BO25" s="188"/>
      <c r="BP25" s="188"/>
      <c r="BQ25" s="188"/>
      <c r="BR25" s="188"/>
      <c r="BS25" s="188"/>
      <c r="BT25" s="188"/>
      <c r="BU25" s="188"/>
      <c r="BV25" s="188"/>
      <c r="BW25" s="188"/>
      <c r="BX25" s="188"/>
      <c r="BY25" s="188"/>
      <c r="BZ25" s="188"/>
      <c r="CA25" s="188"/>
    </row>
    <row r="26" spans="1:79" s="79" customFormat="1" ht="150" customHeight="1" x14ac:dyDescent="0.45">
      <c r="A26" s="78"/>
      <c r="B26" s="899" t="s">
        <v>427</v>
      </c>
      <c r="C26" s="900"/>
      <c r="D26" s="901"/>
    </row>
    <row r="27" spans="1:79" s="79" customFormat="1" ht="27.6" x14ac:dyDescent="0.45">
      <c r="A27" s="78"/>
      <c r="B27" s="904" t="s">
        <v>956</v>
      </c>
      <c r="C27" s="904"/>
      <c r="D27" s="904"/>
    </row>
    <row r="28" spans="1:79" s="79" customFormat="1" ht="150" customHeight="1" x14ac:dyDescent="0.45">
      <c r="A28" s="78"/>
      <c r="B28" s="899" t="s">
        <v>428</v>
      </c>
      <c r="C28" s="900"/>
      <c r="D28" s="901"/>
    </row>
    <row r="29" spans="1:79" s="79" customFormat="1" ht="27.6" x14ac:dyDescent="0.45">
      <c r="A29" s="78"/>
      <c r="B29" s="904" t="s">
        <v>957</v>
      </c>
      <c r="C29" s="904"/>
      <c r="D29" s="904"/>
    </row>
    <row r="30" spans="1:79" s="79" customFormat="1" ht="150" customHeight="1" x14ac:dyDescent="0.45">
      <c r="A30" s="78"/>
      <c r="B30" s="899" t="s">
        <v>429</v>
      </c>
      <c r="C30" s="900"/>
      <c r="D30" s="901"/>
    </row>
    <row r="31" spans="1:79" s="79" customFormat="1" ht="30" x14ac:dyDescent="0.45">
      <c r="A31" s="78"/>
      <c r="B31" s="290" t="s">
        <v>430</v>
      </c>
      <c r="C31" s="277"/>
      <c r="D31" s="277"/>
    </row>
    <row r="32" spans="1:79" s="79" customFormat="1" ht="150" customHeight="1" x14ac:dyDescent="0.45">
      <c r="A32" s="78"/>
      <c r="B32" s="899" t="s">
        <v>431</v>
      </c>
      <c r="C32" s="900"/>
      <c r="D32" s="901"/>
    </row>
    <row r="33" spans="1:79" s="51" customFormat="1" ht="30" x14ac:dyDescent="0.5">
      <c r="A33" s="287" t="s">
        <v>217</v>
      </c>
      <c r="B33" s="186"/>
      <c r="C33" s="187"/>
      <c r="D33" s="186"/>
      <c r="BN33" s="188"/>
      <c r="BO33" s="188"/>
      <c r="BP33" s="188"/>
      <c r="BQ33" s="188"/>
      <c r="BR33" s="188"/>
      <c r="BS33" s="188"/>
      <c r="BT33" s="188"/>
      <c r="BU33" s="188"/>
      <c r="BV33" s="188"/>
      <c r="BW33" s="188"/>
      <c r="BX33" s="188"/>
      <c r="BY33" s="188"/>
      <c r="BZ33" s="188"/>
      <c r="CA33" s="188"/>
    </row>
    <row r="34" spans="1:79" s="189" customFormat="1" ht="30" x14ac:dyDescent="0.5">
      <c r="A34" s="182"/>
      <c r="B34" s="902" t="s">
        <v>246</v>
      </c>
      <c r="C34" s="902"/>
      <c r="D34" s="902"/>
    </row>
    <row r="35" spans="1:79" s="79" customFormat="1" ht="150" customHeight="1" x14ac:dyDescent="0.45">
      <c r="A35" s="78"/>
      <c r="B35" s="899" t="s">
        <v>248</v>
      </c>
      <c r="C35" s="900"/>
      <c r="D35" s="901"/>
    </row>
    <row r="36" spans="1:79" s="51" customFormat="1" ht="39" customHeight="1" x14ac:dyDescent="0.5">
      <c r="A36" s="287" t="s">
        <v>1166</v>
      </c>
      <c r="B36" s="186"/>
      <c r="C36" s="187"/>
      <c r="D36" s="186"/>
      <c r="BN36" s="188"/>
      <c r="BO36" s="188"/>
      <c r="BP36" s="188"/>
      <c r="BQ36" s="188"/>
      <c r="BR36" s="188"/>
      <c r="BS36" s="188"/>
      <c r="BT36" s="188"/>
      <c r="BU36" s="188"/>
      <c r="BV36" s="188"/>
      <c r="BW36" s="188"/>
      <c r="BX36" s="188"/>
      <c r="BY36" s="188"/>
      <c r="BZ36" s="188"/>
      <c r="CA36" s="188"/>
    </row>
    <row r="37" spans="1:79" s="79" customFormat="1" ht="150" customHeight="1" x14ac:dyDescent="0.45">
      <c r="A37" s="78"/>
      <c r="B37" s="899" t="s">
        <v>1167</v>
      </c>
      <c r="C37" s="900"/>
      <c r="D37" s="901"/>
    </row>
    <row r="38" spans="1:79" s="51" customFormat="1" ht="39" customHeight="1" x14ac:dyDescent="0.5">
      <c r="A38" s="287" t="s">
        <v>432</v>
      </c>
      <c r="B38" s="186"/>
      <c r="C38" s="187"/>
      <c r="D38" s="186"/>
      <c r="BN38" s="188"/>
      <c r="BO38" s="188"/>
      <c r="BP38" s="188"/>
      <c r="BQ38" s="188"/>
      <c r="BR38" s="188"/>
      <c r="BS38" s="188"/>
      <c r="BT38" s="188"/>
      <c r="BU38" s="188"/>
      <c r="BV38" s="188"/>
      <c r="BW38" s="188"/>
      <c r="BX38" s="188"/>
      <c r="BY38" s="188"/>
      <c r="BZ38" s="188"/>
      <c r="CA38" s="188"/>
    </row>
    <row r="39" spans="1:79" s="79" customFormat="1" ht="27.6" x14ac:dyDescent="0.4">
      <c r="A39" s="85"/>
      <c r="B39" s="194" t="s">
        <v>246</v>
      </c>
      <c r="C39" s="292">
        <f>+'PAS PACCHETTO 4 invest'!P64</f>
        <v>0</v>
      </c>
      <c r="D39" s="291" t="str">
        <f>+'PAS PACCHETTO 4 invest'!N64</f>
        <v xml:space="preserve"> </v>
      </c>
    </row>
    <row r="40" spans="1:79" s="51" customFormat="1" ht="58.95" customHeight="1" x14ac:dyDescent="0.5">
      <c r="A40" s="287" t="s">
        <v>192</v>
      </c>
      <c r="B40" s="186"/>
      <c r="C40" s="187"/>
      <c r="D40" s="186"/>
      <c r="BN40" s="188"/>
      <c r="BO40" s="188"/>
      <c r="BP40" s="188"/>
      <c r="BQ40" s="188"/>
      <c r="BR40" s="188"/>
      <c r="BS40" s="188"/>
      <c r="BT40" s="188"/>
      <c r="BU40" s="188"/>
      <c r="BV40" s="188"/>
      <c r="BW40" s="188"/>
      <c r="BX40" s="188"/>
      <c r="BY40" s="188"/>
      <c r="BZ40" s="188"/>
      <c r="CA40" s="188"/>
    </row>
    <row r="41" spans="1:79" s="50" customFormat="1" ht="30" x14ac:dyDescent="0.5">
      <c r="A41" s="190"/>
      <c r="B41" s="293" t="s">
        <v>190</v>
      </c>
      <c r="D41" s="191"/>
      <c r="E41" s="191"/>
      <c r="F41" s="191"/>
      <c r="G41" s="191"/>
      <c r="H41" s="191"/>
      <c r="I41" s="191"/>
      <c r="J41" s="191"/>
      <c r="K41" s="191"/>
      <c r="L41" s="191"/>
      <c r="M41" s="191"/>
      <c r="N41" s="191"/>
      <c r="O41" s="191"/>
      <c r="P41" s="191"/>
      <c r="Q41" s="191"/>
      <c r="R41" s="191"/>
      <c r="S41" s="191"/>
      <c r="T41" s="191"/>
      <c r="U41" s="191"/>
      <c r="V41" s="191"/>
      <c r="W41" s="191"/>
      <c r="X41" s="191"/>
      <c r="Y41" s="191"/>
      <c r="Z41" s="191"/>
      <c r="AA41" s="191"/>
      <c r="AB41" s="191"/>
      <c r="AC41" s="191"/>
      <c r="AD41" s="191"/>
      <c r="AE41" s="191"/>
      <c r="AF41" s="191"/>
      <c r="AG41" s="191"/>
      <c r="AH41" s="191"/>
      <c r="AI41" s="191"/>
      <c r="AJ41" s="191"/>
      <c r="AK41" s="191"/>
    </row>
    <row r="42" spans="1:79" s="79" customFormat="1" ht="150" customHeight="1" x14ac:dyDescent="0.45">
      <c r="A42" s="78"/>
      <c r="B42" s="899" t="s">
        <v>193</v>
      </c>
      <c r="C42" s="900"/>
      <c r="D42" s="901"/>
    </row>
    <row r="43" spans="1:79" s="50" customFormat="1" ht="30" x14ac:dyDescent="0.5">
      <c r="A43" s="190"/>
      <c r="B43" s="293" t="s">
        <v>191</v>
      </c>
      <c r="D43" s="191"/>
      <c r="E43" s="191"/>
      <c r="F43" s="191"/>
      <c r="G43" s="191"/>
      <c r="H43" s="191"/>
      <c r="I43" s="191"/>
      <c r="J43" s="191"/>
      <c r="K43" s="191"/>
      <c r="L43" s="191"/>
      <c r="M43" s="191"/>
      <c r="N43" s="191"/>
      <c r="O43" s="191"/>
      <c r="P43" s="191"/>
      <c r="Q43" s="191"/>
      <c r="R43" s="191"/>
      <c r="S43" s="191"/>
      <c r="T43" s="191"/>
      <c r="U43" s="191"/>
      <c r="V43" s="191"/>
      <c r="W43" s="191"/>
      <c r="X43" s="191"/>
      <c r="Y43" s="191"/>
      <c r="Z43" s="191"/>
      <c r="AA43" s="191"/>
      <c r="AB43" s="191"/>
      <c r="AC43" s="191"/>
      <c r="AD43" s="191"/>
      <c r="AE43" s="191"/>
      <c r="AF43" s="191"/>
      <c r="AG43" s="191"/>
      <c r="AH43" s="191"/>
      <c r="AI43" s="191"/>
      <c r="AJ43" s="191"/>
      <c r="AK43" s="191"/>
    </row>
    <row r="44" spans="1:79" s="79" customFormat="1" ht="150" customHeight="1" x14ac:dyDescent="0.45">
      <c r="A44" s="78"/>
      <c r="B44" s="899" t="s">
        <v>193</v>
      </c>
      <c r="C44" s="900"/>
      <c r="D44" s="901"/>
    </row>
    <row r="45" spans="1:79" s="87" customFormat="1" ht="30" customHeight="1" x14ac:dyDescent="0.55000000000000004">
      <c r="A45" s="86"/>
      <c r="B45" s="293" t="s">
        <v>958</v>
      </c>
      <c r="D45" s="88"/>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row>
    <row r="46" spans="1:79" s="193" customFormat="1" ht="150" customHeight="1" x14ac:dyDescent="0.35">
      <c r="A46" s="192"/>
      <c r="B46" s="899" t="s">
        <v>247</v>
      </c>
      <c r="C46" s="900"/>
      <c r="D46" s="901"/>
    </row>
    <row r="47" spans="1:79" s="50" customFormat="1" ht="30" customHeight="1" x14ac:dyDescent="0.5">
      <c r="A47" s="190"/>
      <c r="B47" s="293" t="s">
        <v>194</v>
      </c>
      <c r="D47" s="191"/>
      <c r="E47" s="191"/>
      <c r="F47" s="191"/>
      <c r="G47" s="191"/>
      <c r="H47" s="191"/>
      <c r="I47" s="191"/>
      <c r="J47" s="191"/>
      <c r="K47" s="191"/>
      <c r="L47" s="191"/>
      <c r="M47" s="191"/>
      <c r="N47" s="191"/>
      <c r="O47" s="191"/>
      <c r="P47" s="191"/>
      <c r="Q47" s="191"/>
      <c r="R47" s="191"/>
      <c r="S47" s="191"/>
      <c r="T47" s="191"/>
      <c r="U47" s="191"/>
      <c r="V47" s="191"/>
      <c r="W47" s="191"/>
      <c r="X47" s="191"/>
      <c r="Y47" s="191"/>
      <c r="Z47" s="191"/>
      <c r="AA47" s="191"/>
      <c r="AB47" s="191"/>
      <c r="AC47" s="191"/>
      <c r="AD47" s="191"/>
      <c r="AE47" s="191"/>
      <c r="AF47" s="191"/>
      <c r="AG47" s="191"/>
      <c r="AH47" s="191"/>
      <c r="AI47" s="191"/>
      <c r="AJ47" s="191"/>
      <c r="AK47" s="191"/>
    </row>
    <row r="48" spans="1:79" s="79" customFormat="1" ht="150" customHeight="1" x14ac:dyDescent="0.45">
      <c r="A48" s="78"/>
      <c r="B48" s="899" t="s">
        <v>247</v>
      </c>
      <c r="C48" s="900"/>
      <c r="D48" s="901"/>
    </row>
    <row r="49" spans="1:79" s="51" customFormat="1" ht="39" customHeight="1" x14ac:dyDescent="0.5">
      <c r="A49" s="287" t="s">
        <v>195</v>
      </c>
      <c r="B49" s="186"/>
      <c r="C49" s="187"/>
      <c r="D49" s="186"/>
      <c r="BN49" s="188"/>
      <c r="BO49" s="188"/>
      <c r="BP49" s="188"/>
      <c r="BQ49" s="188"/>
      <c r="BR49" s="188"/>
      <c r="BS49" s="188"/>
      <c r="BT49" s="188"/>
      <c r="BU49" s="188"/>
      <c r="BV49" s="188"/>
      <c r="BW49" s="188"/>
      <c r="BX49" s="188"/>
      <c r="BY49" s="188"/>
      <c r="BZ49" s="188"/>
      <c r="CA49" s="188"/>
    </row>
    <row r="50" spans="1:79" s="79" customFormat="1" ht="43.5" customHeight="1" x14ac:dyDescent="0.4">
      <c r="A50" s="85"/>
      <c r="B50" s="194" t="s">
        <v>246</v>
      </c>
      <c r="C50" s="194"/>
      <c r="D50" s="347">
        <f>+'PAS 6 punteggi'!I54</f>
        <v>20</v>
      </c>
    </row>
    <row r="51" spans="1:79" s="199" customFormat="1" ht="39" customHeight="1" x14ac:dyDescent="0.5">
      <c r="A51" s="52" t="s">
        <v>870</v>
      </c>
      <c r="B51" s="197"/>
      <c r="C51" s="198"/>
      <c r="D51" s="197"/>
      <c r="BN51" s="200"/>
      <c r="BO51" s="200"/>
      <c r="BP51" s="200"/>
      <c r="BQ51" s="200"/>
      <c r="BR51" s="200"/>
      <c r="BS51" s="200"/>
      <c r="BT51" s="200"/>
      <c r="BU51" s="200"/>
      <c r="BV51" s="200"/>
      <c r="BW51" s="200"/>
      <c r="BX51" s="200"/>
      <c r="BY51" s="200"/>
      <c r="BZ51" s="200"/>
      <c r="CA51" s="200"/>
    </row>
    <row r="52" spans="1:79" s="79" customFormat="1" ht="150" customHeight="1" x14ac:dyDescent="0.45">
      <c r="A52" s="78"/>
      <c r="B52" s="899"/>
      <c r="C52" s="900"/>
      <c r="D52" s="901"/>
    </row>
    <row r="53" spans="1:79" s="193" customFormat="1" ht="51.6" customHeight="1" x14ac:dyDescent="0.35">
      <c r="A53" s="192"/>
      <c r="B53" s="692" t="s">
        <v>852</v>
      </c>
      <c r="C53" s="692"/>
      <c r="D53" s="692"/>
    </row>
    <row r="54" spans="1:79" s="79" customFormat="1" ht="43.5" customHeight="1" x14ac:dyDescent="0.55000000000000004">
      <c r="A54" s="78"/>
      <c r="B54" s="89"/>
    </row>
    <row r="55" spans="1:79" s="79" customFormat="1" ht="42" customHeight="1" x14ac:dyDescent="0.45">
      <c r="A55" s="78"/>
      <c r="B55" s="278"/>
      <c r="C55" s="201" t="s">
        <v>282</v>
      </c>
      <c r="D55" s="203"/>
    </row>
    <row r="56" spans="1:79" s="79" customFormat="1" ht="27.6" x14ac:dyDescent="0.45">
      <c r="A56" s="78"/>
      <c r="B56" s="279" t="s">
        <v>241</v>
      </c>
      <c r="C56" s="90"/>
      <c r="D56" s="77"/>
    </row>
    <row r="57" spans="1:79" ht="41.25" customHeight="1" x14ac:dyDescent="0.4">
      <c r="B57" s="279"/>
      <c r="C57" s="201" t="s">
        <v>283</v>
      </c>
      <c r="D57" s="204"/>
    </row>
    <row r="58" spans="1:79" ht="20.25" customHeight="1" x14ac:dyDescent="0.4">
      <c r="B58" s="279"/>
    </row>
  </sheetData>
  <sheetProtection algorithmName="SHA-512" hashValue="pcAxNtxf7MeAc/kxMV7Yv/UrH58iHIXgzjgHyKGMlQvJLyxykPINXjW1pxAfi0swIxvZe3i6b6ZkrpSxJkP+ag==" saltValue="5fWVGXLgSjg5nkONVYVf7Q==" spinCount="100000" sheet="1" formatColumns="0" formatRows="0" insertRows="0" deleteRows="0"/>
  <mergeCells count="29">
    <mergeCell ref="A1:D1"/>
    <mergeCell ref="B17:D17"/>
    <mergeCell ref="B27:D27"/>
    <mergeCell ref="B28:D28"/>
    <mergeCell ref="B29:D29"/>
    <mergeCell ref="B23:D23"/>
    <mergeCell ref="C2:D2"/>
    <mergeCell ref="B13:D13"/>
    <mergeCell ref="B15:D15"/>
    <mergeCell ref="B21:D21"/>
    <mergeCell ref="B3:D3"/>
    <mergeCell ref="B5:D5"/>
    <mergeCell ref="B9:D9"/>
    <mergeCell ref="B7:D7"/>
    <mergeCell ref="B19:D19"/>
    <mergeCell ref="B35:D35"/>
    <mergeCell ref="B26:D26"/>
    <mergeCell ref="B53:D53"/>
    <mergeCell ref="B22:D22"/>
    <mergeCell ref="B52:D52"/>
    <mergeCell ref="B48:D48"/>
    <mergeCell ref="B32:D32"/>
    <mergeCell ref="B34:D34"/>
    <mergeCell ref="B24:D24"/>
    <mergeCell ref="B46:D46"/>
    <mergeCell ref="B44:D44"/>
    <mergeCell ref="B42:D42"/>
    <mergeCell ref="B37:D37"/>
    <mergeCell ref="B30:D30"/>
  </mergeCells>
  <phoneticPr fontId="0" type="noConversion"/>
  <conditionalFormatting sqref="D11">
    <cfRule type="expression" dxfId="1" priority="2" stopIfTrue="1">
      <formula>"se+'PAS 2 calc PLS'!$C$59=x;'PAS 2 calc PLS'!$F$59&gt;14000"</formula>
    </cfRule>
  </conditionalFormatting>
  <conditionalFormatting sqref="C2:D2">
    <cfRule type="cellIs" dxfId="0" priority="1" operator="equal">
      <formula>0</formula>
    </cfRule>
  </conditionalFormatting>
  <printOptions horizontalCentered="1"/>
  <pageMargins left="0.35433070866141736" right="0.27559055118110237" top="0.55118110236220474" bottom="0.43307086614173229" header="0.31496062992125984" footer="0.31496062992125984"/>
  <pageSetup paperSize="9" scale="32" fitToHeight="2" orientation="portrait" blackAndWhite="1" r:id="rId1"/>
  <headerFooter alignWithMargins="0">
    <oddHeader>&amp;C&amp;14Regione Liguria - Piano Aziendale di Sviluppo&amp;R&amp;12PACCHETTO GIOVANI SOTTOMISURE 4.1 e 6.1</oddHeader>
    <oddFooter>&amp;C&amp;A&amp;Rpag 8</oddFooter>
  </headerFooter>
  <rowBreaks count="1" manualBreakCount="1">
    <brk id="30" max="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68"/>
  <sheetViews>
    <sheetView workbookViewId="0">
      <selection activeCell="Q24" sqref="Q24"/>
    </sheetView>
  </sheetViews>
  <sheetFormatPr defaultRowHeight="24.75" customHeight="1" x14ac:dyDescent="0.25"/>
  <cols>
    <col min="5" max="5" width="48.109375" customWidth="1"/>
    <col min="9" max="13" width="9.109375" style="97"/>
    <col min="14" max="14" width="22.6640625" customWidth="1"/>
  </cols>
  <sheetData>
    <row r="2" spans="2:14" ht="15" customHeight="1" x14ac:dyDescent="0.25">
      <c r="B2" s="374" t="s">
        <v>985</v>
      </c>
      <c r="C2" s="374">
        <v>2</v>
      </c>
      <c r="D2" s="374"/>
      <c r="E2" s="374" t="s">
        <v>986</v>
      </c>
      <c r="F2" s="374">
        <v>36.51</v>
      </c>
      <c r="G2" s="375">
        <v>23778</v>
      </c>
      <c r="H2" s="374">
        <v>651.27</v>
      </c>
      <c r="I2" s="377" t="s">
        <v>1158</v>
      </c>
      <c r="J2" s="378">
        <v>4000</v>
      </c>
      <c r="K2" s="377"/>
      <c r="L2" s="377"/>
      <c r="M2" s="377"/>
      <c r="N2" s="374" t="s">
        <v>987</v>
      </c>
    </row>
    <row r="3" spans="2:14" ht="15" customHeight="1" x14ac:dyDescent="0.25">
      <c r="B3" s="374" t="s">
        <v>988</v>
      </c>
      <c r="C3" s="374">
        <v>1</v>
      </c>
      <c r="D3" s="374"/>
      <c r="E3" s="374" t="s">
        <v>989</v>
      </c>
      <c r="F3" s="374">
        <v>14.38</v>
      </c>
      <c r="G3" s="375">
        <v>4426</v>
      </c>
      <c r="H3" s="374">
        <v>307.79000000000002</v>
      </c>
      <c r="I3" s="377" t="s">
        <v>1158</v>
      </c>
      <c r="J3" s="378">
        <v>4000</v>
      </c>
      <c r="K3" s="377"/>
      <c r="L3" s="377"/>
      <c r="M3" s="377"/>
      <c r="N3" s="374" t="s">
        <v>987</v>
      </c>
    </row>
    <row r="4" spans="2:14" ht="15" customHeight="1" x14ac:dyDescent="0.25">
      <c r="B4" s="374" t="s">
        <v>985</v>
      </c>
      <c r="C4" s="374">
        <v>6</v>
      </c>
      <c r="D4" s="374"/>
      <c r="E4" s="374" t="s">
        <v>990</v>
      </c>
      <c r="F4" s="374">
        <v>31.61</v>
      </c>
      <c r="G4" s="375">
        <v>7523</v>
      </c>
      <c r="H4" s="374">
        <v>237.99</v>
      </c>
      <c r="I4" s="377" t="s">
        <v>1158</v>
      </c>
      <c r="J4" s="378">
        <v>4000</v>
      </c>
      <c r="K4" s="377"/>
      <c r="L4" s="377"/>
      <c r="M4" s="377"/>
      <c r="N4" s="374" t="s">
        <v>987</v>
      </c>
    </row>
    <row r="5" spans="2:14" ht="15" customHeight="1" x14ac:dyDescent="0.25">
      <c r="B5" s="374" t="s">
        <v>982</v>
      </c>
      <c r="C5" s="374">
        <v>3</v>
      </c>
      <c r="D5" s="374"/>
      <c r="E5" s="374" t="s">
        <v>991</v>
      </c>
      <c r="F5" s="374">
        <v>16.25</v>
      </c>
      <c r="G5" s="375">
        <v>2770</v>
      </c>
      <c r="H5" s="374">
        <v>170.46</v>
      </c>
      <c r="I5" s="377" t="s">
        <v>1158</v>
      </c>
      <c r="J5" s="378">
        <v>4000</v>
      </c>
      <c r="K5" s="377"/>
      <c r="L5" s="377"/>
      <c r="M5" s="377"/>
      <c r="N5" s="374" t="s">
        <v>987</v>
      </c>
    </row>
    <row r="6" spans="2:14" ht="15" customHeight="1" x14ac:dyDescent="0.25">
      <c r="B6" s="374" t="s">
        <v>988</v>
      </c>
      <c r="C6" s="374">
        <v>3</v>
      </c>
      <c r="D6" s="374"/>
      <c r="E6" s="374" t="s">
        <v>992</v>
      </c>
      <c r="F6" s="374">
        <v>36.020000000000003</v>
      </c>
      <c r="G6" s="375">
        <v>2403</v>
      </c>
      <c r="H6" s="374">
        <v>66.709999999999994</v>
      </c>
      <c r="I6" s="377" t="s">
        <v>1158</v>
      </c>
      <c r="J6" s="378">
        <v>4000</v>
      </c>
      <c r="K6" s="377"/>
      <c r="L6" s="377"/>
      <c r="M6" s="377"/>
      <c r="N6" s="374" t="s">
        <v>987</v>
      </c>
    </row>
    <row r="7" spans="2:14" ht="15" customHeight="1" x14ac:dyDescent="0.25">
      <c r="B7" s="374" t="s">
        <v>988</v>
      </c>
      <c r="C7" s="374">
        <v>5</v>
      </c>
      <c r="D7" s="374"/>
      <c r="E7" s="374" t="s">
        <v>993</v>
      </c>
      <c r="F7" s="374">
        <v>9.33</v>
      </c>
      <c r="G7" s="374">
        <v>942</v>
      </c>
      <c r="H7" s="374">
        <v>100.96</v>
      </c>
      <c r="I7" s="377" t="s">
        <v>1158</v>
      </c>
      <c r="J7" s="378">
        <v>4000</v>
      </c>
      <c r="K7" s="377"/>
      <c r="L7" s="377"/>
      <c r="M7" s="377"/>
      <c r="N7" s="374" t="s">
        <v>987</v>
      </c>
    </row>
    <row r="8" spans="2:14" ht="15" customHeight="1" x14ac:dyDescent="0.25">
      <c r="B8" s="374" t="s">
        <v>985</v>
      </c>
      <c r="C8" s="374">
        <v>12</v>
      </c>
      <c r="D8" s="374"/>
      <c r="E8" s="374" t="s">
        <v>994</v>
      </c>
      <c r="F8" s="374">
        <v>5.34</v>
      </c>
      <c r="G8" s="375">
        <v>5050</v>
      </c>
      <c r="H8" s="374">
        <v>945.69</v>
      </c>
      <c r="I8" s="377" t="s">
        <v>1158</v>
      </c>
      <c r="J8" s="378">
        <v>4000</v>
      </c>
      <c r="K8" s="377"/>
      <c r="L8" s="377"/>
      <c r="M8" s="377"/>
      <c r="N8" s="374" t="s">
        <v>987</v>
      </c>
    </row>
    <row r="9" spans="2:14" ht="15" customHeight="1" x14ac:dyDescent="0.25">
      <c r="B9" s="374" t="s">
        <v>982</v>
      </c>
      <c r="C9" s="374">
        <v>6</v>
      </c>
      <c r="D9" s="374"/>
      <c r="E9" s="374" t="s">
        <v>995</v>
      </c>
      <c r="F9" s="374">
        <v>17.12</v>
      </c>
      <c r="G9" s="375">
        <v>5709</v>
      </c>
      <c r="H9" s="374">
        <v>333.47</v>
      </c>
      <c r="I9" s="377" t="s">
        <v>1158</v>
      </c>
      <c r="J9" s="378">
        <v>4000</v>
      </c>
      <c r="K9" s="377"/>
      <c r="L9" s="377"/>
      <c r="M9" s="377"/>
      <c r="N9" s="374" t="s">
        <v>987</v>
      </c>
    </row>
    <row r="10" spans="2:14" ht="15" customHeight="1" x14ac:dyDescent="0.25">
      <c r="B10" s="374" t="s">
        <v>985</v>
      </c>
      <c r="C10" s="374">
        <v>16</v>
      </c>
      <c r="D10" s="374"/>
      <c r="E10" s="374" t="s">
        <v>996</v>
      </c>
      <c r="F10" s="374">
        <v>19.36</v>
      </c>
      <c r="G10" s="375">
        <v>1727</v>
      </c>
      <c r="H10" s="374">
        <v>89.2</v>
      </c>
      <c r="I10" s="377" t="s">
        <v>1158</v>
      </c>
      <c r="J10" s="378">
        <v>4000</v>
      </c>
      <c r="K10" s="377"/>
      <c r="L10" s="377"/>
      <c r="M10" s="377"/>
      <c r="N10" s="374" t="s">
        <v>987</v>
      </c>
    </row>
    <row r="11" spans="2:14" ht="15" customHeight="1" x14ac:dyDescent="0.25">
      <c r="B11" s="374" t="s">
        <v>997</v>
      </c>
      <c r="C11" s="374">
        <v>11</v>
      </c>
      <c r="D11" s="374"/>
      <c r="E11" s="374" t="s">
        <v>998</v>
      </c>
      <c r="F11" s="374">
        <v>17.64</v>
      </c>
      <c r="G11" s="375">
        <v>5423</v>
      </c>
      <c r="H11" s="374">
        <v>307.43</v>
      </c>
      <c r="I11" s="377" t="s">
        <v>1158</v>
      </c>
      <c r="J11" s="378">
        <v>4000</v>
      </c>
      <c r="K11" s="377"/>
      <c r="L11" s="377"/>
      <c r="M11" s="377"/>
      <c r="N11" s="374" t="s">
        <v>987</v>
      </c>
    </row>
    <row r="12" spans="2:14" ht="15" customHeight="1" x14ac:dyDescent="0.25">
      <c r="B12" s="374" t="s">
        <v>985</v>
      </c>
      <c r="C12" s="374">
        <v>18</v>
      </c>
      <c r="D12" s="374"/>
      <c r="E12" s="374" t="s">
        <v>999</v>
      </c>
      <c r="F12" s="374">
        <v>10.36</v>
      </c>
      <c r="G12" s="375">
        <v>5587</v>
      </c>
      <c r="H12" s="374">
        <v>539.29</v>
      </c>
      <c r="I12" s="377" t="s">
        <v>1158</v>
      </c>
      <c r="J12" s="378">
        <v>4000</v>
      </c>
      <c r="K12" s="377"/>
      <c r="L12" s="377"/>
      <c r="M12" s="377"/>
      <c r="N12" s="374" t="s">
        <v>987</v>
      </c>
    </row>
    <row r="13" spans="2:14" ht="15" customHeight="1" x14ac:dyDescent="0.25">
      <c r="B13" s="374" t="s">
        <v>982</v>
      </c>
      <c r="C13" s="374">
        <v>11</v>
      </c>
      <c r="D13" s="374"/>
      <c r="E13" s="374" t="s">
        <v>1000</v>
      </c>
      <c r="F13" s="374">
        <v>27.36</v>
      </c>
      <c r="G13" s="375">
        <v>6756</v>
      </c>
      <c r="H13" s="374">
        <v>246.93</v>
      </c>
      <c r="I13" s="377" t="s">
        <v>1158</v>
      </c>
      <c r="J13" s="378">
        <v>4000</v>
      </c>
      <c r="K13" s="377"/>
      <c r="L13" s="377"/>
      <c r="M13" s="377"/>
      <c r="N13" s="374" t="s">
        <v>987</v>
      </c>
    </row>
    <row r="14" spans="2:14" ht="15" customHeight="1" x14ac:dyDescent="0.25">
      <c r="B14" s="374" t="s">
        <v>997</v>
      </c>
      <c r="C14" s="374">
        <v>14</v>
      </c>
      <c r="D14" s="374"/>
      <c r="E14" s="374" t="s">
        <v>1001</v>
      </c>
      <c r="F14" s="374">
        <v>8.69</v>
      </c>
      <c r="G14" s="375">
        <v>1261</v>
      </c>
      <c r="H14" s="374">
        <v>145.11000000000001</v>
      </c>
      <c r="I14" s="377" t="s">
        <v>1158</v>
      </c>
      <c r="J14" s="378">
        <v>4000</v>
      </c>
      <c r="K14" s="377"/>
      <c r="L14" s="377"/>
      <c r="M14" s="377"/>
      <c r="N14" s="374" t="s">
        <v>987</v>
      </c>
    </row>
    <row r="15" spans="2:14" ht="15" customHeight="1" x14ac:dyDescent="0.25">
      <c r="B15" s="374" t="s">
        <v>985</v>
      </c>
      <c r="C15" s="374">
        <v>23</v>
      </c>
      <c r="D15" s="374"/>
      <c r="E15" s="374" t="s">
        <v>1002</v>
      </c>
      <c r="F15" s="374">
        <v>18.79</v>
      </c>
      <c r="G15" s="375">
        <v>3682</v>
      </c>
      <c r="H15" s="374">
        <v>195.96</v>
      </c>
      <c r="I15" s="377" t="s">
        <v>1158</v>
      </c>
      <c r="J15" s="378">
        <v>4000</v>
      </c>
      <c r="K15" s="377"/>
      <c r="L15" s="377"/>
      <c r="M15" s="377"/>
      <c r="N15" s="374" t="s">
        <v>987</v>
      </c>
    </row>
    <row r="16" spans="2:14" ht="15" customHeight="1" x14ac:dyDescent="0.25">
      <c r="B16" s="374" t="s">
        <v>985</v>
      </c>
      <c r="C16" s="374">
        <v>24</v>
      </c>
      <c r="D16" s="374"/>
      <c r="E16" s="374" t="s">
        <v>1003</v>
      </c>
      <c r="F16" s="374">
        <v>11.21</v>
      </c>
      <c r="G16" s="375">
        <v>5786</v>
      </c>
      <c r="H16" s="374">
        <v>516.15</v>
      </c>
      <c r="I16" s="377" t="s">
        <v>1158</v>
      </c>
      <c r="J16" s="378">
        <v>4000</v>
      </c>
      <c r="K16" s="377"/>
      <c r="L16" s="377"/>
      <c r="M16" s="377"/>
      <c r="N16" s="374" t="s">
        <v>987</v>
      </c>
    </row>
    <row r="17" spans="2:14" ht="15" customHeight="1" x14ac:dyDescent="0.25">
      <c r="B17" s="374" t="s">
        <v>997</v>
      </c>
      <c r="C17" s="374">
        <v>17</v>
      </c>
      <c r="D17" s="374"/>
      <c r="E17" s="374" t="s">
        <v>1004</v>
      </c>
      <c r="F17" s="374">
        <v>3.36</v>
      </c>
      <c r="G17" s="375">
        <v>1155</v>
      </c>
      <c r="H17" s="374">
        <v>343.75</v>
      </c>
      <c r="I17" s="377" t="s">
        <v>1158</v>
      </c>
      <c r="J17" s="378">
        <v>4000</v>
      </c>
      <c r="K17" s="377"/>
      <c r="L17" s="377"/>
      <c r="M17" s="377"/>
      <c r="N17" s="374" t="s">
        <v>987</v>
      </c>
    </row>
    <row r="18" spans="2:14" ht="15" customHeight="1" x14ac:dyDescent="0.25">
      <c r="B18" s="374" t="s">
        <v>982</v>
      </c>
      <c r="C18" s="374">
        <v>16</v>
      </c>
      <c r="D18" s="374"/>
      <c r="E18" s="374" t="s">
        <v>1005</v>
      </c>
      <c r="F18" s="374">
        <v>11.54</v>
      </c>
      <c r="G18" s="375">
        <v>2548</v>
      </c>
      <c r="H18" s="374">
        <v>220.8</v>
      </c>
      <c r="I18" s="377" t="s">
        <v>1158</v>
      </c>
      <c r="J18" s="378">
        <v>4000</v>
      </c>
      <c r="K18" s="377"/>
      <c r="L18" s="377"/>
      <c r="M18" s="377"/>
      <c r="N18" s="374" t="s">
        <v>987</v>
      </c>
    </row>
    <row r="19" spans="2:14" ht="15" customHeight="1" x14ac:dyDescent="0.25">
      <c r="B19" s="374" t="s">
        <v>997</v>
      </c>
      <c r="C19" s="374">
        <v>22</v>
      </c>
      <c r="D19" s="374"/>
      <c r="E19" s="374" t="s">
        <v>1006</v>
      </c>
      <c r="F19" s="374">
        <v>3.83</v>
      </c>
      <c r="G19" s="374">
        <v>627</v>
      </c>
      <c r="H19" s="374">
        <v>163.71</v>
      </c>
      <c r="I19" s="377" t="s">
        <v>1158</v>
      </c>
      <c r="J19" s="378">
        <v>4000</v>
      </c>
      <c r="K19" s="377"/>
      <c r="L19" s="377"/>
      <c r="M19" s="377"/>
      <c r="N19" s="374" t="s">
        <v>987</v>
      </c>
    </row>
    <row r="20" spans="2:14" ht="15" customHeight="1" x14ac:dyDescent="0.25">
      <c r="B20" s="374" t="s">
        <v>982</v>
      </c>
      <c r="C20" s="374">
        <v>20</v>
      </c>
      <c r="D20" s="374"/>
      <c r="E20" s="374" t="s">
        <v>1007</v>
      </c>
      <c r="F20" s="374">
        <v>11.56</v>
      </c>
      <c r="G20" s="374">
        <v>548</v>
      </c>
      <c r="H20" s="374">
        <v>47.4</v>
      </c>
      <c r="I20" s="377" t="s">
        <v>1158</v>
      </c>
      <c r="J20" s="378">
        <v>4000</v>
      </c>
      <c r="K20" s="377"/>
      <c r="L20" s="377"/>
      <c r="M20" s="377"/>
      <c r="N20" s="374" t="s">
        <v>987</v>
      </c>
    </row>
    <row r="21" spans="2:14" ht="15" customHeight="1" x14ac:dyDescent="0.25">
      <c r="B21" s="374" t="s">
        <v>982</v>
      </c>
      <c r="C21" s="374">
        <v>21</v>
      </c>
      <c r="D21" s="374"/>
      <c r="E21" s="374" t="s">
        <v>1008</v>
      </c>
      <c r="F21" s="374">
        <v>22.1</v>
      </c>
      <c r="G21" s="375">
        <v>1924</v>
      </c>
      <c r="H21" s="374">
        <v>87.06</v>
      </c>
      <c r="I21" s="377" t="s">
        <v>1158</v>
      </c>
      <c r="J21" s="378">
        <v>4000</v>
      </c>
      <c r="K21" s="377"/>
      <c r="L21" s="377"/>
      <c r="M21" s="377"/>
      <c r="N21" s="374" t="s">
        <v>987</v>
      </c>
    </row>
    <row r="22" spans="2:14" ht="15" customHeight="1" x14ac:dyDescent="0.25">
      <c r="B22" s="374" t="s">
        <v>997</v>
      </c>
      <c r="C22" s="374">
        <v>29</v>
      </c>
      <c r="D22" s="374"/>
      <c r="E22" s="374" t="s">
        <v>1009</v>
      </c>
      <c r="F22" s="374">
        <v>20.23</v>
      </c>
      <c r="G22" s="375">
        <v>1999</v>
      </c>
      <c r="H22" s="374">
        <v>98.81</v>
      </c>
      <c r="I22" s="377" t="s">
        <v>1158</v>
      </c>
      <c r="J22" s="378">
        <v>4000</v>
      </c>
      <c r="K22" s="377"/>
      <c r="L22" s="377"/>
      <c r="M22" s="377"/>
      <c r="N22" s="374" t="s">
        <v>987</v>
      </c>
    </row>
    <row r="23" spans="2:14" ht="15" customHeight="1" x14ac:dyDescent="0.25">
      <c r="B23" s="374" t="s">
        <v>997</v>
      </c>
      <c r="C23" s="374">
        <v>30</v>
      </c>
      <c r="D23" s="374"/>
      <c r="E23" s="374" t="s">
        <v>1010</v>
      </c>
      <c r="F23" s="374">
        <v>19.32</v>
      </c>
      <c r="G23" s="375">
        <v>1477</v>
      </c>
      <c r="H23" s="374">
        <v>76.45</v>
      </c>
      <c r="I23" s="377" t="s">
        <v>1158</v>
      </c>
      <c r="J23" s="378">
        <v>4000</v>
      </c>
      <c r="K23" s="377"/>
      <c r="L23" s="377"/>
      <c r="M23" s="377"/>
      <c r="N23" s="374" t="s">
        <v>987</v>
      </c>
    </row>
    <row r="24" spans="2:14" ht="15" customHeight="1" x14ac:dyDescent="0.25">
      <c r="B24" s="374" t="s">
        <v>988</v>
      </c>
      <c r="C24" s="374">
        <v>13</v>
      </c>
      <c r="D24" s="374"/>
      <c r="E24" s="374" t="s">
        <v>1011</v>
      </c>
      <c r="F24" s="374">
        <v>23.12</v>
      </c>
      <c r="G24" s="375">
        <v>6422</v>
      </c>
      <c r="H24" s="374">
        <v>277.77</v>
      </c>
      <c r="I24" s="377" t="s">
        <v>1158</v>
      </c>
      <c r="J24" s="378">
        <v>4000</v>
      </c>
      <c r="K24" s="377"/>
      <c r="L24" s="377"/>
      <c r="M24" s="377"/>
      <c r="N24" s="374" t="s">
        <v>987</v>
      </c>
    </row>
    <row r="25" spans="2:14" ht="15" customHeight="1" x14ac:dyDescent="0.25">
      <c r="B25" s="374" t="s">
        <v>988</v>
      </c>
      <c r="C25" s="374">
        <v>14</v>
      </c>
      <c r="D25" s="374"/>
      <c r="E25" s="374" t="s">
        <v>1012</v>
      </c>
      <c r="F25" s="374">
        <v>18.920000000000002</v>
      </c>
      <c r="G25" s="374">
        <v>677</v>
      </c>
      <c r="H25" s="374">
        <v>35.78</v>
      </c>
      <c r="I25" s="377" t="s">
        <v>1158</v>
      </c>
      <c r="J25" s="378">
        <v>4000</v>
      </c>
      <c r="K25" s="377"/>
      <c r="L25" s="377"/>
      <c r="M25" s="377"/>
      <c r="N25" s="374" t="s">
        <v>987</v>
      </c>
    </row>
    <row r="26" spans="2:14" ht="15" customHeight="1" x14ac:dyDescent="0.25">
      <c r="B26" s="374" t="s">
        <v>985</v>
      </c>
      <c r="C26" s="374">
        <v>30</v>
      </c>
      <c r="D26" s="374"/>
      <c r="E26" s="374" t="s">
        <v>1013</v>
      </c>
      <c r="F26" s="374">
        <v>8.26</v>
      </c>
      <c r="G26" s="375">
        <v>1200</v>
      </c>
      <c r="H26" s="374">
        <v>145.28</v>
      </c>
      <c r="I26" s="377" t="s">
        <v>1158</v>
      </c>
      <c r="J26" s="378">
        <v>4000</v>
      </c>
      <c r="K26" s="377"/>
      <c r="L26" s="377"/>
      <c r="M26" s="377"/>
      <c r="N26" s="374" t="s">
        <v>987</v>
      </c>
    </row>
    <row r="27" spans="2:14" ht="15" customHeight="1" x14ac:dyDescent="0.25">
      <c r="B27" s="374" t="s">
        <v>982</v>
      </c>
      <c r="C27" s="374">
        <v>27</v>
      </c>
      <c r="D27" s="374"/>
      <c r="E27" s="374" t="s">
        <v>1014</v>
      </c>
      <c r="F27" s="374">
        <v>47.8</v>
      </c>
      <c r="G27" s="375">
        <v>1542</v>
      </c>
      <c r="H27" s="374">
        <v>32.26</v>
      </c>
      <c r="I27" s="377" t="s">
        <v>1158</v>
      </c>
      <c r="J27" s="378">
        <v>4000</v>
      </c>
      <c r="K27" s="377"/>
      <c r="L27" s="377"/>
      <c r="M27" s="377"/>
      <c r="N27" s="374" t="s">
        <v>987</v>
      </c>
    </row>
    <row r="28" spans="2:14" ht="15" customHeight="1" x14ac:dyDescent="0.25">
      <c r="B28" s="374" t="s">
        <v>985</v>
      </c>
      <c r="C28" s="374">
        <v>33</v>
      </c>
      <c r="D28" s="374"/>
      <c r="E28" s="374" t="s">
        <v>1015</v>
      </c>
      <c r="F28" s="374">
        <v>2.78</v>
      </c>
      <c r="G28" s="375">
        <v>1738</v>
      </c>
      <c r="H28" s="374">
        <v>625.17999999999995</v>
      </c>
      <c r="I28" s="377" t="s">
        <v>1158</v>
      </c>
      <c r="J28" s="378">
        <v>4000</v>
      </c>
      <c r="K28" s="377"/>
      <c r="L28" s="377"/>
      <c r="M28" s="377"/>
      <c r="N28" s="374" t="s">
        <v>987</v>
      </c>
    </row>
    <row r="29" spans="2:14" ht="15" customHeight="1" x14ac:dyDescent="0.25">
      <c r="B29" s="374" t="s">
        <v>982</v>
      </c>
      <c r="C29" s="374">
        <v>32</v>
      </c>
      <c r="D29" s="374"/>
      <c r="E29" s="374" t="s">
        <v>1016</v>
      </c>
      <c r="F29" s="374">
        <v>29.82</v>
      </c>
      <c r="G29" s="375">
        <v>3750</v>
      </c>
      <c r="H29" s="374">
        <v>125.75</v>
      </c>
      <c r="I29" s="377" t="s">
        <v>1158</v>
      </c>
      <c r="J29" s="378">
        <v>4000</v>
      </c>
      <c r="K29" s="377"/>
      <c r="L29" s="377"/>
      <c r="M29" s="377"/>
      <c r="N29" s="374" t="s">
        <v>987</v>
      </c>
    </row>
    <row r="30" spans="2:14" ht="15" customHeight="1" x14ac:dyDescent="0.25">
      <c r="B30" s="374" t="s">
        <v>985</v>
      </c>
      <c r="C30" s="374">
        <v>38</v>
      </c>
      <c r="D30" s="374"/>
      <c r="E30" s="374" t="s">
        <v>1017</v>
      </c>
      <c r="F30" s="374">
        <v>15.87</v>
      </c>
      <c r="G30" s="375">
        <v>3472</v>
      </c>
      <c r="H30" s="374">
        <v>218.78</v>
      </c>
      <c r="I30" s="377" t="s">
        <v>1158</v>
      </c>
      <c r="J30" s="378">
        <v>4000</v>
      </c>
      <c r="K30" s="377"/>
      <c r="L30" s="377"/>
      <c r="M30" s="377"/>
      <c r="N30" s="374" t="s">
        <v>987</v>
      </c>
    </row>
    <row r="31" spans="2:14" ht="15" customHeight="1" x14ac:dyDescent="0.25">
      <c r="B31" s="374" t="s">
        <v>982</v>
      </c>
      <c r="C31" s="374">
        <v>39</v>
      </c>
      <c r="D31" s="374"/>
      <c r="E31" s="374" t="s">
        <v>983</v>
      </c>
      <c r="F31" s="374">
        <v>46.33</v>
      </c>
      <c r="G31" s="375">
        <v>2044</v>
      </c>
      <c r="H31" s="374">
        <v>44.12</v>
      </c>
      <c r="I31" s="377" t="s">
        <v>1158</v>
      </c>
      <c r="J31" s="378">
        <v>4000</v>
      </c>
      <c r="K31" s="377"/>
      <c r="L31" s="377"/>
      <c r="M31" s="377"/>
      <c r="N31" s="374" t="s">
        <v>984</v>
      </c>
    </row>
    <row r="32" spans="2:14" ht="15" customHeight="1" x14ac:dyDescent="0.25">
      <c r="B32" s="374" t="s">
        <v>982</v>
      </c>
      <c r="C32" s="374">
        <v>40</v>
      </c>
      <c r="D32" s="374"/>
      <c r="E32" s="374" t="s">
        <v>1018</v>
      </c>
      <c r="F32" s="374">
        <v>64.05</v>
      </c>
      <c r="G32" s="375">
        <v>2348</v>
      </c>
      <c r="H32" s="374">
        <v>36.659999999999997</v>
      </c>
      <c r="I32" s="377" t="s">
        <v>1158</v>
      </c>
      <c r="J32" s="378">
        <v>4000</v>
      </c>
      <c r="K32" s="377"/>
      <c r="L32" s="377"/>
      <c r="M32" s="377"/>
      <c r="N32" s="374" t="s">
        <v>987</v>
      </c>
    </row>
    <row r="33" spans="2:14" ht="15" customHeight="1" x14ac:dyDescent="0.25">
      <c r="B33" s="374" t="s">
        <v>988</v>
      </c>
      <c r="C33" s="374">
        <v>20</v>
      </c>
      <c r="D33" s="374"/>
      <c r="E33" s="374" t="s">
        <v>1019</v>
      </c>
      <c r="F33" s="374">
        <v>13.81</v>
      </c>
      <c r="G33" s="375">
        <v>8393</v>
      </c>
      <c r="H33" s="374">
        <v>607.75</v>
      </c>
      <c r="I33" s="377" t="s">
        <v>1158</v>
      </c>
      <c r="J33" s="378">
        <v>4000</v>
      </c>
      <c r="K33" s="377"/>
      <c r="L33" s="377"/>
      <c r="M33" s="377"/>
      <c r="N33" s="374" t="s">
        <v>987</v>
      </c>
    </row>
    <row r="34" spans="2:14" ht="15" customHeight="1" x14ac:dyDescent="0.25">
      <c r="B34" s="374" t="s">
        <v>985</v>
      </c>
      <c r="C34" s="374">
        <v>45</v>
      </c>
      <c r="D34" s="374"/>
      <c r="E34" s="374" t="s">
        <v>1020</v>
      </c>
      <c r="F34" s="374">
        <v>9.83</v>
      </c>
      <c r="G34" s="375">
        <v>1639</v>
      </c>
      <c r="H34" s="374">
        <v>166.73</v>
      </c>
      <c r="I34" s="377" t="s">
        <v>1158</v>
      </c>
      <c r="J34" s="378">
        <v>4000</v>
      </c>
      <c r="K34" s="377"/>
      <c r="L34" s="377"/>
      <c r="M34" s="377"/>
      <c r="N34" s="374" t="s">
        <v>987</v>
      </c>
    </row>
    <row r="35" spans="2:14" ht="15" customHeight="1" x14ac:dyDescent="0.25">
      <c r="B35" s="374" t="s">
        <v>997</v>
      </c>
      <c r="C35" s="374">
        <v>44</v>
      </c>
      <c r="D35" s="374"/>
      <c r="E35" s="374" t="s">
        <v>1021</v>
      </c>
      <c r="F35" s="374">
        <v>5.39</v>
      </c>
      <c r="G35" s="374">
        <v>837</v>
      </c>
      <c r="H35" s="374">
        <v>155.29</v>
      </c>
      <c r="I35" s="377" t="s">
        <v>1158</v>
      </c>
      <c r="J35" s="378">
        <v>4000</v>
      </c>
      <c r="K35" s="377"/>
      <c r="L35" s="377"/>
      <c r="M35" s="377"/>
      <c r="N35" s="374" t="s">
        <v>987</v>
      </c>
    </row>
    <row r="36" spans="2:14" ht="15" customHeight="1" x14ac:dyDescent="0.25">
      <c r="B36" s="374" t="s">
        <v>988</v>
      </c>
      <c r="C36" s="374">
        <v>22</v>
      </c>
      <c r="D36" s="374"/>
      <c r="E36" s="374" t="s">
        <v>1022</v>
      </c>
      <c r="F36" s="374">
        <v>7.68</v>
      </c>
      <c r="G36" s="375">
        <v>3637</v>
      </c>
      <c r="H36" s="374">
        <v>473.57</v>
      </c>
      <c r="I36" s="377" t="s">
        <v>1158</v>
      </c>
      <c r="J36" s="378">
        <v>4000</v>
      </c>
      <c r="K36" s="377"/>
      <c r="L36" s="377"/>
      <c r="M36" s="377"/>
      <c r="N36" s="374" t="s">
        <v>987</v>
      </c>
    </row>
    <row r="37" spans="2:14" ht="15" customHeight="1" x14ac:dyDescent="0.25">
      <c r="B37" s="374" t="s">
        <v>985</v>
      </c>
      <c r="C37" s="374">
        <v>52</v>
      </c>
      <c r="D37" s="374"/>
      <c r="E37" s="374" t="s">
        <v>1023</v>
      </c>
      <c r="F37" s="374">
        <v>49.46</v>
      </c>
      <c r="G37" s="375">
        <v>7333</v>
      </c>
      <c r="H37" s="374">
        <v>148.26</v>
      </c>
      <c r="I37" s="377" t="s">
        <v>1158</v>
      </c>
      <c r="J37" s="378">
        <v>4000</v>
      </c>
      <c r="K37" s="377"/>
      <c r="L37" s="377"/>
      <c r="M37" s="377"/>
      <c r="N37" s="374" t="s">
        <v>987</v>
      </c>
    </row>
    <row r="38" spans="2:14" ht="15" customHeight="1" x14ac:dyDescent="0.25">
      <c r="B38" s="374" t="s">
        <v>988</v>
      </c>
      <c r="C38" s="374">
        <v>23</v>
      </c>
      <c r="D38" s="374"/>
      <c r="E38" s="374" t="s">
        <v>1024</v>
      </c>
      <c r="F38" s="374">
        <v>36.92</v>
      </c>
      <c r="G38" s="375">
        <v>3563</v>
      </c>
      <c r="H38" s="374">
        <v>96.51</v>
      </c>
      <c r="I38" s="377" t="s">
        <v>1158</v>
      </c>
      <c r="J38" s="378">
        <v>4000</v>
      </c>
      <c r="K38" s="377"/>
      <c r="L38" s="377"/>
      <c r="M38" s="377"/>
      <c r="N38" s="374" t="s">
        <v>987</v>
      </c>
    </row>
    <row r="39" spans="2:14" ht="15" customHeight="1" x14ac:dyDescent="0.25">
      <c r="B39" s="374" t="s">
        <v>988</v>
      </c>
      <c r="C39" s="374">
        <v>24</v>
      </c>
      <c r="D39" s="374"/>
      <c r="E39" s="374" t="s">
        <v>1025</v>
      </c>
      <c r="F39" s="374">
        <v>10.26</v>
      </c>
      <c r="G39" s="375">
        <v>1626</v>
      </c>
      <c r="H39" s="374">
        <v>158.47999999999999</v>
      </c>
      <c r="I39" s="377" t="s">
        <v>1158</v>
      </c>
      <c r="J39" s="378">
        <v>4000</v>
      </c>
      <c r="K39" s="377"/>
      <c r="L39" s="377"/>
      <c r="M39" s="377"/>
      <c r="N39" s="374" t="s">
        <v>987</v>
      </c>
    </row>
    <row r="40" spans="2:14" ht="15" customHeight="1" x14ac:dyDescent="0.25">
      <c r="B40" s="374" t="s">
        <v>997</v>
      </c>
      <c r="C40" s="374">
        <v>50</v>
      </c>
      <c r="D40" s="374"/>
      <c r="E40" s="374" t="s">
        <v>1026</v>
      </c>
      <c r="F40" s="374">
        <v>2.11</v>
      </c>
      <c r="G40" s="375">
        <v>2925</v>
      </c>
      <c r="H40" s="376">
        <v>1386.26</v>
      </c>
      <c r="I40" s="377" t="s">
        <v>1158</v>
      </c>
      <c r="J40" s="378">
        <v>4000</v>
      </c>
      <c r="K40" s="377"/>
      <c r="L40" s="377"/>
      <c r="M40" s="377"/>
      <c r="N40" s="374" t="s">
        <v>987</v>
      </c>
    </row>
    <row r="41" spans="2:14" ht="15" customHeight="1" x14ac:dyDescent="0.25">
      <c r="B41" s="374" t="s">
        <v>982</v>
      </c>
      <c r="C41" s="374">
        <v>49</v>
      </c>
      <c r="D41" s="374"/>
      <c r="E41" s="374" t="s">
        <v>1027</v>
      </c>
      <c r="F41" s="374">
        <v>30.5</v>
      </c>
      <c r="G41" s="375">
        <v>4536</v>
      </c>
      <c r="H41" s="374">
        <v>148.72</v>
      </c>
      <c r="I41" s="377" t="s">
        <v>1158</v>
      </c>
      <c r="J41" s="378">
        <v>4000</v>
      </c>
      <c r="K41" s="377"/>
      <c r="L41" s="377"/>
      <c r="M41" s="377"/>
      <c r="N41" s="374" t="s">
        <v>987</v>
      </c>
    </row>
    <row r="42" spans="2:14" ht="15" customHeight="1" x14ac:dyDescent="0.25">
      <c r="B42" s="374" t="s">
        <v>982</v>
      </c>
      <c r="C42" s="374">
        <v>51</v>
      </c>
      <c r="D42" s="374"/>
      <c r="E42" s="374" t="s">
        <v>1028</v>
      </c>
      <c r="F42" s="374">
        <v>47.2</v>
      </c>
      <c r="G42" s="375">
        <v>2915</v>
      </c>
      <c r="H42" s="374">
        <v>61.76</v>
      </c>
      <c r="I42" s="377" t="s">
        <v>1158</v>
      </c>
      <c r="J42" s="378">
        <v>4000</v>
      </c>
      <c r="K42" s="377"/>
      <c r="L42" s="377"/>
      <c r="M42" s="377"/>
      <c r="N42" s="374" t="s">
        <v>987</v>
      </c>
    </row>
    <row r="43" spans="2:14" ht="15" customHeight="1" x14ac:dyDescent="0.25">
      <c r="B43" s="374" t="s">
        <v>997</v>
      </c>
      <c r="C43" s="374">
        <v>52</v>
      </c>
      <c r="D43" s="374"/>
      <c r="E43" s="374" t="s">
        <v>1029</v>
      </c>
      <c r="F43" s="374">
        <v>10.92</v>
      </c>
      <c r="G43" s="375">
        <v>3088</v>
      </c>
      <c r="H43" s="374">
        <v>282.77999999999997</v>
      </c>
      <c r="I43" s="377" t="s">
        <v>1158</v>
      </c>
      <c r="J43" s="378">
        <v>4000</v>
      </c>
      <c r="K43" s="377"/>
      <c r="L43" s="377"/>
      <c r="M43" s="377"/>
      <c r="N43" s="374" t="s">
        <v>987</v>
      </c>
    </row>
    <row r="44" spans="2:14" ht="15" customHeight="1" x14ac:dyDescent="0.25">
      <c r="B44" s="374" t="s">
        <v>997</v>
      </c>
      <c r="C44" s="374">
        <v>53</v>
      </c>
      <c r="D44" s="374"/>
      <c r="E44" s="374" t="s">
        <v>1030</v>
      </c>
      <c r="F44" s="374">
        <v>4.5999999999999996</v>
      </c>
      <c r="G44" s="375">
        <v>1266</v>
      </c>
      <c r="H44" s="374">
        <v>275.22000000000003</v>
      </c>
      <c r="I44" s="377" t="s">
        <v>1158</v>
      </c>
      <c r="J44" s="378">
        <v>4000</v>
      </c>
      <c r="K44" s="377"/>
      <c r="L44" s="377"/>
      <c r="M44" s="377"/>
      <c r="N44" s="374" t="s">
        <v>987</v>
      </c>
    </row>
    <row r="45" spans="2:14" ht="15" customHeight="1" x14ac:dyDescent="0.25">
      <c r="B45" s="374" t="s">
        <v>982</v>
      </c>
      <c r="C45" s="374">
        <v>57</v>
      </c>
      <c r="D45" s="374"/>
      <c r="E45" s="374" t="s">
        <v>1031</v>
      </c>
      <c r="F45" s="374">
        <v>21.78</v>
      </c>
      <c r="G45" s="375">
        <v>3216</v>
      </c>
      <c r="H45" s="374">
        <v>147.66</v>
      </c>
      <c r="I45" s="377" t="s">
        <v>1158</v>
      </c>
      <c r="J45" s="378">
        <v>4000</v>
      </c>
      <c r="K45" s="377"/>
      <c r="L45" s="377"/>
      <c r="M45" s="377"/>
      <c r="N45" s="374" t="s">
        <v>987</v>
      </c>
    </row>
    <row r="46" spans="2:14" ht="15" customHeight="1" x14ac:dyDescent="0.25">
      <c r="B46" s="374" t="s">
        <v>997</v>
      </c>
      <c r="C46" s="374">
        <v>58</v>
      </c>
      <c r="D46" s="374"/>
      <c r="E46" s="374" t="s">
        <v>1032</v>
      </c>
      <c r="F46" s="374">
        <v>3.58</v>
      </c>
      <c r="G46" s="375">
        <v>1005</v>
      </c>
      <c r="H46" s="374">
        <v>280.73</v>
      </c>
      <c r="I46" s="377" t="s">
        <v>1158</v>
      </c>
      <c r="J46" s="378">
        <v>4000</v>
      </c>
      <c r="K46" s="377"/>
      <c r="L46" s="377"/>
      <c r="M46" s="377"/>
      <c r="N46" s="374" t="s">
        <v>987</v>
      </c>
    </row>
    <row r="47" spans="2:14" ht="15" customHeight="1" x14ac:dyDescent="0.25">
      <c r="B47" s="374" t="s">
        <v>985</v>
      </c>
      <c r="C47" s="374">
        <v>58</v>
      </c>
      <c r="D47" s="374"/>
      <c r="E47" s="374" t="s">
        <v>1033</v>
      </c>
      <c r="F47" s="374">
        <v>43.26</v>
      </c>
      <c r="G47" s="375">
        <v>3067</v>
      </c>
      <c r="H47" s="374">
        <v>70.900000000000006</v>
      </c>
      <c r="I47" s="377" t="s">
        <v>1158</v>
      </c>
      <c r="J47" s="378">
        <v>4000</v>
      </c>
      <c r="K47" s="377"/>
      <c r="L47" s="377"/>
      <c r="M47" s="377"/>
      <c r="N47" s="374" t="s">
        <v>987</v>
      </c>
    </row>
    <row r="48" spans="2:14" ht="15" customHeight="1" x14ac:dyDescent="0.25">
      <c r="B48" s="374" t="s">
        <v>997</v>
      </c>
      <c r="C48" s="374">
        <v>59</v>
      </c>
      <c r="D48" s="374"/>
      <c r="E48" s="374" t="s">
        <v>1034</v>
      </c>
      <c r="F48" s="374">
        <v>30.89</v>
      </c>
      <c r="G48" s="375">
        <v>14012</v>
      </c>
      <c r="H48" s="374">
        <v>453.61</v>
      </c>
      <c r="I48" s="377" t="s">
        <v>1158</v>
      </c>
      <c r="J48" s="378">
        <v>4000</v>
      </c>
      <c r="K48" s="377"/>
      <c r="L48" s="377"/>
      <c r="M48" s="377"/>
      <c r="N48" s="374" t="s">
        <v>987</v>
      </c>
    </row>
    <row r="49" spans="2:14" ht="15" customHeight="1" x14ac:dyDescent="0.25">
      <c r="B49" s="374" t="s">
        <v>982</v>
      </c>
      <c r="C49" s="374">
        <v>62</v>
      </c>
      <c r="D49" s="374"/>
      <c r="E49" s="374" t="s">
        <v>1035</v>
      </c>
      <c r="F49" s="374">
        <v>58.81</v>
      </c>
      <c r="G49" s="375">
        <v>2395</v>
      </c>
      <c r="H49" s="374">
        <v>40.72</v>
      </c>
      <c r="I49" s="377" t="s">
        <v>1158</v>
      </c>
      <c r="J49" s="378">
        <v>4000</v>
      </c>
      <c r="K49" s="377"/>
      <c r="L49" s="377"/>
      <c r="M49" s="377"/>
      <c r="N49" s="374" t="s">
        <v>987</v>
      </c>
    </row>
    <row r="50" spans="2:14" ht="15" customHeight="1" x14ac:dyDescent="0.25">
      <c r="B50" s="374" t="s">
        <v>997</v>
      </c>
      <c r="C50" s="374">
        <v>63</v>
      </c>
      <c r="D50" s="374"/>
      <c r="E50" s="374" t="s">
        <v>1036</v>
      </c>
      <c r="F50" s="374">
        <v>3.56</v>
      </c>
      <c r="G50" s="375">
        <v>6998</v>
      </c>
      <c r="H50" s="376">
        <v>1965.73</v>
      </c>
      <c r="I50" s="377" t="s">
        <v>1158</v>
      </c>
      <c r="J50" s="378">
        <v>4000</v>
      </c>
      <c r="K50" s="377"/>
      <c r="L50" s="377"/>
      <c r="M50" s="377"/>
      <c r="N50" s="374" t="s">
        <v>987</v>
      </c>
    </row>
    <row r="51" spans="2:14" ht="15" customHeight="1" x14ac:dyDescent="0.25">
      <c r="B51" s="374" t="s">
        <v>997</v>
      </c>
      <c r="C51" s="374">
        <v>64</v>
      </c>
      <c r="D51" s="374"/>
      <c r="E51" s="374" t="s">
        <v>1037</v>
      </c>
      <c r="F51" s="374">
        <v>10.75</v>
      </c>
      <c r="G51" s="374">
        <v>418</v>
      </c>
      <c r="H51" s="374">
        <v>38.880000000000003</v>
      </c>
      <c r="I51" s="377" t="s">
        <v>1158</v>
      </c>
      <c r="J51" s="378">
        <v>4000</v>
      </c>
      <c r="K51" s="377"/>
      <c r="L51" s="377"/>
      <c r="M51" s="377"/>
      <c r="N51" s="374" t="s">
        <v>987</v>
      </c>
    </row>
    <row r="52" spans="2:14" ht="15" customHeight="1" x14ac:dyDescent="0.25">
      <c r="B52" s="374" t="s">
        <v>997</v>
      </c>
      <c r="C52" s="374">
        <v>65</v>
      </c>
      <c r="D52" s="374"/>
      <c r="E52" s="374" t="s">
        <v>1038</v>
      </c>
      <c r="F52" s="374">
        <v>54.08</v>
      </c>
      <c r="G52" s="375">
        <v>23907</v>
      </c>
      <c r="H52" s="374">
        <v>442.07</v>
      </c>
      <c r="I52" s="377" t="s">
        <v>1158</v>
      </c>
      <c r="J52" s="378">
        <v>4000</v>
      </c>
      <c r="K52" s="377"/>
      <c r="L52" s="377"/>
      <c r="M52" s="377"/>
      <c r="N52" s="374" t="s">
        <v>987</v>
      </c>
    </row>
    <row r="53" spans="2:14" ht="15" customHeight="1" x14ac:dyDescent="0.25">
      <c r="B53" s="374" t="s">
        <v>985</v>
      </c>
      <c r="C53" s="374">
        <v>67</v>
      </c>
      <c r="D53" s="374"/>
      <c r="E53" s="374" t="s">
        <v>1039</v>
      </c>
      <c r="F53" s="374">
        <v>9.69</v>
      </c>
      <c r="G53" s="374">
        <v>814</v>
      </c>
      <c r="H53" s="374">
        <v>84</v>
      </c>
      <c r="I53" s="377" t="s">
        <v>1158</v>
      </c>
      <c r="J53" s="378">
        <v>4000</v>
      </c>
      <c r="K53" s="377"/>
      <c r="L53" s="377"/>
      <c r="M53" s="377"/>
      <c r="N53" s="374" t="s">
        <v>987</v>
      </c>
    </row>
    <row r="54" spans="2:14" ht="15" customHeight="1" x14ac:dyDescent="0.25">
      <c r="B54" s="374" t="s">
        <v>985</v>
      </c>
      <c r="C54" s="374">
        <v>68</v>
      </c>
      <c r="D54" s="374"/>
      <c r="E54" s="374" t="s">
        <v>1040</v>
      </c>
      <c r="F54" s="374">
        <v>15.74</v>
      </c>
      <c r="G54" s="375">
        <v>2626</v>
      </c>
      <c r="H54" s="374">
        <v>166.84</v>
      </c>
      <c r="I54" s="377" t="s">
        <v>1158</v>
      </c>
      <c r="J54" s="378">
        <v>4000</v>
      </c>
      <c r="K54" s="377"/>
      <c r="L54" s="377"/>
      <c r="M54" s="377"/>
      <c r="N54" s="374" t="s">
        <v>987</v>
      </c>
    </row>
    <row r="55" spans="2:14" ht="15" customHeight="1" x14ac:dyDescent="0.25">
      <c r="B55" s="374" t="s">
        <v>985</v>
      </c>
      <c r="C55" s="374">
        <v>7</v>
      </c>
      <c r="D55" s="374"/>
      <c r="E55" s="374" t="s">
        <v>1043</v>
      </c>
      <c r="F55" s="374">
        <v>6.01</v>
      </c>
      <c r="G55" s="374">
        <v>650</v>
      </c>
      <c r="H55" s="374">
        <v>108.15</v>
      </c>
      <c r="I55" s="377" t="s">
        <v>1159</v>
      </c>
      <c r="J55" s="378">
        <v>6000</v>
      </c>
      <c r="K55" s="377"/>
      <c r="L55" s="377"/>
      <c r="M55" s="377"/>
      <c r="N55" s="374" t="s">
        <v>1044</v>
      </c>
    </row>
    <row r="56" spans="2:14" ht="15" customHeight="1" x14ac:dyDescent="0.25">
      <c r="B56" s="374" t="s">
        <v>997</v>
      </c>
      <c r="C56" s="374">
        <v>6</v>
      </c>
      <c r="D56" s="374"/>
      <c r="E56" s="374" t="s">
        <v>1045</v>
      </c>
      <c r="F56" s="374">
        <v>15.84</v>
      </c>
      <c r="G56" s="375">
        <v>1165</v>
      </c>
      <c r="H56" s="374">
        <v>73.55</v>
      </c>
      <c r="I56" s="377" t="s">
        <v>1159</v>
      </c>
      <c r="J56" s="378">
        <v>6000</v>
      </c>
      <c r="K56" s="377"/>
      <c r="L56" s="377"/>
      <c r="M56" s="377"/>
      <c r="N56" s="374" t="s">
        <v>1044</v>
      </c>
    </row>
    <row r="57" spans="2:14" ht="15" customHeight="1" x14ac:dyDescent="0.25">
      <c r="B57" s="374" t="s">
        <v>988</v>
      </c>
      <c r="C57" s="374">
        <v>6</v>
      </c>
      <c r="D57" s="374"/>
      <c r="E57" s="374" t="s">
        <v>1046</v>
      </c>
      <c r="F57" s="374">
        <v>27.33</v>
      </c>
      <c r="G57" s="374">
        <v>967</v>
      </c>
      <c r="H57" s="374">
        <v>35.380000000000003</v>
      </c>
      <c r="I57" s="377" t="s">
        <v>1159</v>
      </c>
      <c r="J57" s="378">
        <v>6000</v>
      </c>
      <c r="K57" s="377"/>
      <c r="L57" s="377"/>
      <c r="M57" s="377"/>
      <c r="N57" s="374" t="s">
        <v>1044</v>
      </c>
    </row>
    <row r="58" spans="2:14" ht="15" customHeight="1" x14ac:dyDescent="0.25">
      <c r="B58" s="374" t="s">
        <v>997</v>
      </c>
      <c r="C58" s="374">
        <v>10</v>
      </c>
      <c r="D58" s="374"/>
      <c r="E58" s="374" t="s">
        <v>1047</v>
      </c>
      <c r="F58" s="374">
        <v>23.24</v>
      </c>
      <c r="G58" s="374">
        <v>877</v>
      </c>
      <c r="H58" s="374">
        <v>37.74</v>
      </c>
      <c r="I58" s="377" t="s">
        <v>1159</v>
      </c>
      <c r="J58" s="378">
        <v>6000</v>
      </c>
      <c r="K58" s="377"/>
      <c r="L58" s="377"/>
      <c r="M58" s="377"/>
      <c r="N58" s="374" t="s">
        <v>1044</v>
      </c>
    </row>
    <row r="59" spans="2:14" ht="15" customHeight="1" x14ac:dyDescent="0.25">
      <c r="B59" s="374" t="s">
        <v>982</v>
      </c>
      <c r="C59" s="374">
        <v>5</v>
      </c>
      <c r="D59" s="374"/>
      <c r="E59" s="374" t="s">
        <v>1048</v>
      </c>
      <c r="F59" s="374">
        <v>79.989999999999995</v>
      </c>
      <c r="G59" s="375">
        <v>2108</v>
      </c>
      <c r="H59" s="374">
        <v>26.35</v>
      </c>
      <c r="I59" s="377" t="s">
        <v>1159</v>
      </c>
      <c r="J59" s="378">
        <v>6000</v>
      </c>
      <c r="K59" s="377"/>
      <c r="L59" s="377"/>
      <c r="M59" s="377"/>
      <c r="N59" s="374" t="s">
        <v>1044</v>
      </c>
    </row>
    <row r="60" spans="2:14" ht="15" customHeight="1" x14ac:dyDescent="0.25">
      <c r="B60" s="374" t="s">
        <v>988</v>
      </c>
      <c r="C60" s="374">
        <v>7</v>
      </c>
      <c r="D60" s="374"/>
      <c r="E60" s="374" t="s">
        <v>1049</v>
      </c>
      <c r="F60" s="374">
        <v>11.97</v>
      </c>
      <c r="G60" s="375">
        <v>1264</v>
      </c>
      <c r="H60" s="374">
        <v>105.6</v>
      </c>
      <c r="I60" s="377" t="s">
        <v>1159</v>
      </c>
      <c r="J60" s="378">
        <v>6000</v>
      </c>
      <c r="K60" s="377"/>
      <c r="L60" s="377"/>
      <c r="M60" s="377"/>
      <c r="N60" s="374" t="s">
        <v>1044</v>
      </c>
    </row>
    <row r="61" spans="2:14" ht="15" customHeight="1" x14ac:dyDescent="0.25">
      <c r="B61" s="374" t="s">
        <v>985</v>
      </c>
      <c r="C61" s="374">
        <v>15</v>
      </c>
      <c r="D61" s="374"/>
      <c r="E61" s="374" t="s">
        <v>1050</v>
      </c>
      <c r="F61" s="374">
        <v>99.5</v>
      </c>
      <c r="G61" s="375">
        <v>13222</v>
      </c>
      <c r="H61" s="374">
        <v>132.88</v>
      </c>
      <c r="I61" s="377" t="s">
        <v>1159</v>
      </c>
      <c r="J61" s="378">
        <v>6000</v>
      </c>
      <c r="K61" s="377"/>
      <c r="L61" s="377"/>
      <c r="M61" s="377"/>
      <c r="N61" s="374" t="s">
        <v>1044</v>
      </c>
    </row>
    <row r="62" spans="2:14" ht="15" customHeight="1" x14ac:dyDescent="0.25">
      <c r="B62" s="374" t="s">
        <v>988</v>
      </c>
      <c r="C62" s="374">
        <v>8</v>
      </c>
      <c r="D62" s="374"/>
      <c r="E62" s="374" t="s">
        <v>1051</v>
      </c>
      <c r="F62" s="374">
        <v>34.130000000000003</v>
      </c>
      <c r="G62" s="375">
        <v>1142</v>
      </c>
      <c r="H62" s="374">
        <v>33.46</v>
      </c>
      <c r="I62" s="377" t="s">
        <v>1159</v>
      </c>
      <c r="J62" s="378">
        <v>6000</v>
      </c>
      <c r="K62" s="377"/>
      <c r="L62" s="377"/>
      <c r="M62" s="377"/>
      <c r="N62" s="374" t="s">
        <v>1044</v>
      </c>
    </row>
    <row r="63" spans="2:14" ht="15" customHeight="1" x14ac:dyDescent="0.25">
      <c r="B63" s="374" t="s">
        <v>988</v>
      </c>
      <c r="C63" s="374">
        <v>10</v>
      </c>
      <c r="D63" s="374"/>
      <c r="E63" s="374" t="s">
        <v>1052</v>
      </c>
      <c r="F63" s="374">
        <v>20.97</v>
      </c>
      <c r="G63" s="374">
        <v>517</v>
      </c>
      <c r="H63" s="374">
        <v>24.65</v>
      </c>
      <c r="I63" s="377" t="s">
        <v>1159</v>
      </c>
      <c r="J63" s="378">
        <v>6000</v>
      </c>
      <c r="K63" s="377"/>
      <c r="L63" s="377"/>
      <c r="M63" s="377"/>
      <c r="N63" s="374" t="s">
        <v>1044</v>
      </c>
    </row>
    <row r="64" spans="2:14" ht="15" customHeight="1" x14ac:dyDescent="0.25">
      <c r="B64" s="374" t="s">
        <v>985</v>
      </c>
      <c r="C64" s="374">
        <v>19</v>
      </c>
      <c r="D64" s="374"/>
      <c r="E64" s="374" t="s">
        <v>1053</v>
      </c>
      <c r="F64" s="374">
        <v>24.3</v>
      </c>
      <c r="G64" s="374">
        <v>752</v>
      </c>
      <c r="H64" s="374">
        <v>30.95</v>
      </c>
      <c r="I64" s="377" t="s">
        <v>1159</v>
      </c>
      <c r="J64" s="378">
        <v>6000</v>
      </c>
      <c r="K64" s="377"/>
      <c r="L64" s="377"/>
      <c r="M64" s="377"/>
      <c r="N64" s="374" t="s">
        <v>1044</v>
      </c>
    </row>
    <row r="65" spans="2:14" ht="15" customHeight="1" x14ac:dyDescent="0.25">
      <c r="B65" s="374" t="s">
        <v>985</v>
      </c>
      <c r="C65" s="374">
        <v>20</v>
      </c>
      <c r="D65" s="374"/>
      <c r="E65" s="374" t="s">
        <v>1054</v>
      </c>
      <c r="F65" s="374">
        <v>14.76</v>
      </c>
      <c r="G65" s="374">
        <v>326</v>
      </c>
      <c r="H65" s="374">
        <v>22.09</v>
      </c>
      <c r="I65" s="377" t="s">
        <v>1159</v>
      </c>
      <c r="J65" s="378">
        <v>6000</v>
      </c>
      <c r="K65" s="377"/>
      <c r="L65" s="377"/>
      <c r="M65" s="377"/>
      <c r="N65" s="374" t="s">
        <v>1044</v>
      </c>
    </row>
    <row r="66" spans="2:14" ht="15" customHeight="1" x14ac:dyDescent="0.25">
      <c r="B66" s="374" t="s">
        <v>982</v>
      </c>
      <c r="C66" s="374">
        <v>13</v>
      </c>
      <c r="D66" s="374"/>
      <c r="E66" s="374" t="s">
        <v>1055</v>
      </c>
      <c r="F66" s="374">
        <v>30.15</v>
      </c>
      <c r="G66" s="375">
        <v>1620</v>
      </c>
      <c r="H66" s="374">
        <v>53.73</v>
      </c>
      <c r="I66" s="377" t="s">
        <v>1159</v>
      </c>
      <c r="J66" s="378">
        <v>6000</v>
      </c>
      <c r="K66" s="377"/>
      <c r="L66" s="377"/>
      <c r="M66" s="377"/>
      <c r="N66" s="374" t="s">
        <v>1044</v>
      </c>
    </row>
    <row r="67" spans="2:14" ht="15" customHeight="1" x14ac:dyDescent="0.25">
      <c r="B67" s="374" t="s">
        <v>997</v>
      </c>
      <c r="C67" s="374">
        <v>16</v>
      </c>
      <c r="D67" s="374"/>
      <c r="E67" s="374" t="s">
        <v>1056</v>
      </c>
      <c r="F67" s="374">
        <v>32.119999999999997</v>
      </c>
      <c r="G67" s="375">
        <v>1263</v>
      </c>
      <c r="H67" s="374">
        <v>39.32</v>
      </c>
      <c r="I67" s="377" t="s">
        <v>1159</v>
      </c>
      <c r="J67" s="378">
        <v>6000</v>
      </c>
      <c r="K67" s="377"/>
      <c r="L67" s="377"/>
      <c r="M67" s="377"/>
      <c r="N67" s="374" t="s">
        <v>1044</v>
      </c>
    </row>
    <row r="68" spans="2:14" ht="15" customHeight="1" x14ac:dyDescent="0.25">
      <c r="B68" s="374" t="s">
        <v>997</v>
      </c>
      <c r="C68" s="374">
        <v>19</v>
      </c>
      <c r="D68" s="374"/>
      <c r="E68" s="374" t="s">
        <v>1057</v>
      </c>
      <c r="F68" s="374">
        <v>13.67</v>
      </c>
      <c r="G68" s="374">
        <v>606</v>
      </c>
      <c r="H68" s="374">
        <v>44.33</v>
      </c>
      <c r="I68" s="377" t="s">
        <v>1159</v>
      </c>
      <c r="J68" s="378">
        <v>6000</v>
      </c>
      <c r="K68" s="377"/>
      <c r="L68" s="377"/>
      <c r="M68" s="377"/>
      <c r="N68" s="374" t="s">
        <v>1044</v>
      </c>
    </row>
    <row r="69" spans="2:14" ht="15" customHeight="1" x14ac:dyDescent="0.25">
      <c r="B69" s="374" t="s">
        <v>997</v>
      </c>
      <c r="C69" s="374">
        <v>21</v>
      </c>
      <c r="D69" s="374"/>
      <c r="E69" s="374" t="s">
        <v>1058</v>
      </c>
      <c r="F69" s="374">
        <v>9.5500000000000007</v>
      </c>
      <c r="G69" s="375">
        <v>1268</v>
      </c>
      <c r="H69" s="374">
        <v>132.77000000000001</v>
      </c>
      <c r="I69" s="377" t="s">
        <v>1159</v>
      </c>
      <c r="J69" s="378">
        <v>6000</v>
      </c>
      <c r="K69" s="377"/>
      <c r="L69" s="377"/>
      <c r="M69" s="377"/>
      <c r="N69" s="374" t="s">
        <v>1044</v>
      </c>
    </row>
    <row r="70" spans="2:14" ht="15" customHeight="1" x14ac:dyDescent="0.25">
      <c r="B70" s="374" t="s">
        <v>982</v>
      </c>
      <c r="C70" s="374">
        <v>19</v>
      </c>
      <c r="D70" s="374"/>
      <c r="E70" s="374" t="s">
        <v>1059</v>
      </c>
      <c r="F70" s="374">
        <v>8.02</v>
      </c>
      <c r="G70" s="374">
        <v>279</v>
      </c>
      <c r="H70" s="374">
        <v>34.880000000000003</v>
      </c>
      <c r="I70" s="377" t="s">
        <v>1159</v>
      </c>
      <c r="J70" s="378">
        <v>6000</v>
      </c>
      <c r="K70" s="377"/>
      <c r="L70" s="377"/>
      <c r="M70" s="377"/>
      <c r="N70" s="374" t="s">
        <v>1044</v>
      </c>
    </row>
    <row r="71" spans="2:14" ht="15" customHeight="1" x14ac:dyDescent="0.25">
      <c r="B71" s="374" t="s">
        <v>985</v>
      </c>
      <c r="C71" s="374">
        <v>26</v>
      </c>
      <c r="D71" s="374"/>
      <c r="E71" s="374" t="s">
        <v>1060</v>
      </c>
      <c r="F71" s="374">
        <v>13.73</v>
      </c>
      <c r="G71" s="375">
        <v>1095</v>
      </c>
      <c r="H71" s="374">
        <v>79.75</v>
      </c>
      <c r="I71" s="377" t="s">
        <v>1159</v>
      </c>
      <c r="J71" s="378">
        <v>6000</v>
      </c>
      <c r="K71" s="377"/>
      <c r="L71" s="377"/>
      <c r="M71" s="377"/>
      <c r="N71" s="374" t="s">
        <v>1044</v>
      </c>
    </row>
    <row r="72" spans="2:14" ht="15" customHeight="1" x14ac:dyDescent="0.25">
      <c r="B72" s="374" t="s">
        <v>997</v>
      </c>
      <c r="C72" s="374">
        <v>28</v>
      </c>
      <c r="D72" s="374"/>
      <c r="E72" s="374" t="s">
        <v>1061</v>
      </c>
      <c r="F72" s="374">
        <v>11.76</v>
      </c>
      <c r="G72" s="375">
        <v>1135</v>
      </c>
      <c r="H72" s="374">
        <v>96.51</v>
      </c>
      <c r="I72" s="377" t="s">
        <v>1159</v>
      </c>
      <c r="J72" s="378">
        <v>6000</v>
      </c>
      <c r="K72" s="377"/>
      <c r="L72" s="377"/>
      <c r="M72" s="377"/>
      <c r="N72" s="374" t="s">
        <v>1044</v>
      </c>
    </row>
    <row r="73" spans="2:14" ht="15" customHeight="1" x14ac:dyDescent="0.25">
      <c r="B73" s="374" t="s">
        <v>985</v>
      </c>
      <c r="C73" s="374">
        <v>28</v>
      </c>
      <c r="D73" s="374"/>
      <c r="E73" s="374" t="s">
        <v>1062</v>
      </c>
      <c r="F73" s="374">
        <v>16.57</v>
      </c>
      <c r="G73" s="374">
        <v>263</v>
      </c>
      <c r="H73" s="374">
        <v>15.87</v>
      </c>
      <c r="I73" s="377" t="s">
        <v>1159</v>
      </c>
      <c r="J73" s="378">
        <v>6000</v>
      </c>
      <c r="K73" s="377"/>
      <c r="L73" s="377"/>
      <c r="M73" s="377"/>
      <c r="N73" s="374" t="s">
        <v>1044</v>
      </c>
    </row>
    <row r="74" spans="2:14" ht="15" customHeight="1" x14ac:dyDescent="0.25">
      <c r="B74" s="374" t="s">
        <v>982</v>
      </c>
      <c r="C74" s="374">
        <v>22</v>
      </c>
      <c r="D74" s="374"/>
      <c r="E74" s="374" t="s">
        <v>1063</v>
      </c>
      <c r="F74" s="374">
        <v>11.03</v>
      </c>
      <c r="G74" s="374">
        <v>96</v>
      </c>
      <c r="H74" s="374">
        <v>8.6999999999999993</v>
      </c>
      <c r="I74" s="377" t="s">
        <v>1159</v>
      </c>
      <c r="J74" s="378">
        <v>6000</v>
      </c>
      <c r="K74" s="377"/>
      <c r="L74" s="377"/>
      <c r="M74" s="377"/>
      <c r="N74" s="374" t="s">
        <v>1044</v>
      </c>
    </row>
    <row r="75" spans="2:14" ht="15" customHeight="1" x14ac:dyDescent="0.25">
      <c r="B75" s="374" t="s">
        <v>982</v>
      </c>
      <c r="C75" s="374">
        <v>24</v>
      </c>
      <c r="D75" s="374"/>
      <c r="E75" s="374" t="s">
        <v>1064</v>
      </c>
      <c r="F75" s="374">
        <v>16.62</v>
      </c>
      <c r="G75" s="374">
        <v>272</v>
      </c>
      <c r="H75" s="374">
        <v>16.37</v>
      </c>
      <c r="I75" s="377" t="s">
        <v>1159</v>
      </c>
      <c r="J75" s="378">
        <v>6000</v>
      </c>
      <c r="K75" s="377"/>
      <c r="L75" s="377"/>
      <c r="M75" s="377"/>
      <c r="N75" s="374" t="s">
        <v>1044</v>
      </c>
    </row>
    <row r="76" spans="2:14" ht="15" customHeight="1" x14ac:dyDescent="0.25">
      <c r="B76" s="374" t="s">
        <v>985</v>
      </c>
      <c r="C76" s="374">
        <v>31</v>
      </c>
      <c r="D76" s="374"/>
      <c r="E76" s="374" t="s">
        <v>1065</v>
      </c>
      <c r="F76" s="374">
        <v>17.43</v>
      </c>
      <c r="G76" s="374">
        <v>949</v>
      </c>
      <c r="H76" s="374">
        <v>54.45</v>
      </c>
      <c r="I76" s="377" t="s">
        <v>1159</v>
      </c>
      <c r="J76" s="378">
        <v>6000</v>
      </c>
      <c r="K76" s="377"/>
      <c r="L76" s="377"/>
      <c r="M76" s="377"/>
      <c r="N76" s="374" t="s">
        <v>1044</v>
      </c>
    </row>
    <row r="77" spans="2:14" ht="15" customHeight="1" x14ac:dyDescent="0.25">
      <c r="B77" s="374" t="s">
        <v>985</v>
      </c>
      <c r="C77" s="374">
        <v>32</v>
      </c>
      <c r="D77" s="374"/>
      <c r="E77" s="374" t="s">
        <v>1041</v>
      </c>
      <c r="F77" s="374">
        <v>19.13</v>
      </c>
      <c r="G77" s="374">
        <v>465</v>
      </c>
      <c r="H77" s="374">
        <v>24.31</v>
      </c>
      <c r="I77" s="377" t="s">
        <v>1159</v>
      </c>
      <c r="J77" s="378">
        <v>6000</v>
      </c>
      <c r="K77" s="377"/>
      <c r="L77" s="377"/>
      <c r="M77" s="377"/>
      <c r="N77" s="374" t="s">
        <v>1042</v>
      </c>
    </row>
    <row r="78" spans="2:14" ht="15" customHeight="1" x14ac:dyDescent="0.25">
      <c r="B78" s="374" t="s">
        <v>982</v>
      </c>
      <c r="C78" s="374">
        <v>26</v>
      </c>
      <c r="D78" s="374"/>
      <c r="E78" s="374" t="s">
        <v>1066</v>
      </c>
      <c r="F78" s="374">
        <v>18.53</v>
      </c>
      <c r="G78" s="374">
        <v>105</v>
      </c>
      <c r="H78" s="374">
        <v>5.67</v>
      </c>
      <c r="I78" s="377" t="s">
        <v>1159</v>
      </c>
      <c r="J78" s="378">
        <v>6000</v>
      </c>
      <c r="K78" s="377"/>
      <c r="L78" s="377"/>
      <c r="M78" s="377"/>
      <c r="N78" s="374" t="s">
        <v>1044</v>
      </c>
    </row>
    <row r="79" spans="2:14" ht="15" customHeight="1" x14ac:dyDescent="0.25">
      <c r="B79" s="374" t="s">
        <v>988</v>
      </c>
      <c r="C79" s="374">
        <v>17</v>
      </c>
      <c r="D79" s="374"/>
      <c r="E79" s="374" t="s">
        <v>1067</v>
      </c>
      <c r="F79" s="374">
        <v>38.11</v>
      </c>
      <c r="G79" s="375">
        <v>5511</v>
      </c>
      <c r="H79" s="374">
        <v>144.61000000000001</v>
      </c>
      <c r="I79" s="377" t="s">
        <v>1159</v>
      </c>
      <c r="J79" s="378">
        <v>6000</v>
      </c>
      <c r="K79" s="377"/>
      <c r="L79" s="377"/>
      <c r="M79" s="377"/>
      <c r="N79" s="374" t="s">
        <v>1044</v>
      </c>
    </row>
    <row r="80" spans="2:14" ht="15" customHeight="1" x14ac:dyDescent="0.25">
      <c r="B80" s="374" t="s">
        <v>982</v>
      </c>
      <c r="C80" s="374">
        <v>30</v>
      </c>
      <c r="D80" s="374"/>
      <c r="E80" s="374" t="s">
        <v>1068</v>
      </c>
      <c r="F80" s="374">
        <v>17.78</v>
      </c>
      <c r="G80" s="374">
        <v>507</v>
      </c>
      <c r="H80" s="374">
        <v>28.52</v>
      </c>
      <c r="I80" s="377" t="s">
        <v>1159</v>
      </c>
      <c r="J80" s="378">
        <v>6000</v>
      </c>
      <c r="K80" s="377"/>
      <c r="L80" s="377"/>
      <c r="M80" s="377"/>
      <c r="N80" s="374" t="s">
        <v>1044</v>
      </c>
    </row>
    <row r="81" spans="2:14" ht="15" customHeight="1" x14ac:dyDescent="0.25">
      <c r="B81" s="374" t="s">
        <v>982</v>
      </c>
      <c r="C81" s="374">
        <v>31</v>
      </c>
      <c r="D81" s="374"/>
      <c r="E81" s="374" t="s">
        <v>1069</v>
      </c>
      <c r="F81" s="374">
        <v>25.48</v>
      </c>
      <c r="G81" s="375">
        <v>1558</v>
      </c>
      <c r="H81" s="374">
        <v>61.15</v>
      </c>
      <c r="I81" s="377" t="s">
        <v>1159</v>
      </c>
      <c r="J81" s="378">
        <v>6000</v>
      </c>
      <c r="K81" s="377"/>
      <c r="L81" s="377"/>
      <c r="M81" s="377"/>
      <c r="N81" s="374" t="s">
        <v>1044</v>
      </c>
    </row>
    <row r="82" spans="2:14" ht="15" customHeight="1" x14ac:dyDescent="0.25">
      <c r="B82" s="374" t="s">
        <v>985</v>
      </c>
      <c r="C82" s="374">
        <v>35</v>
      </c>
      <c r="D82" s="374"/>
      <c r="E82" s="374" t="s">
        <v>1070</v>
      </c>
      <c r="F82" s="374">
        <v>19.18</v>
      </c>
      <c r="G82" s="374">
        <v>947</v>
      </c>
      <c r="H82" s="374">
        <v>49.37</v>
      </c>
      <c r="I82" s="377" t="s">
        <v>1159</v>
      </c>
      <c r="J82" s="378">
        <v>6000</v>
      </c>
      <c r="K82" s="377"/>
      <c r="L82" s="377"/>
      <c r="M82" s="377"/>
      <c r="N82" s="374" t="s">
        <v>1044</v>
      </c>
    </row>
    <row r="83" spans="2:14" ht="15" customHeight="1" x14ac:dyDescent="0.25">
      <c r="B83" s="374" t="s">
        <v>982</v>
      </c>
      <c r="C83" s="374">
        <v>36</v>
      </c>
      <c r="D83" s="374"/>
      <c r="E83" s="374" t="s">
        <v>1071</v>
      </c>
      <c r="F83" s="374">
        <v>16.14</v>
      </c>
      <c r="G83" s="375">
        <v>2693</v>
      </c>
      <c r="H83" s="374">
        <v>166.85</v>
      </c>
      <c r="I83" s="377" t="s">
        <v>1159</v>
      </c>
      <c r="J83" s="378">
        <v>6000</v>
      </c>
      <c r="K83" s="377"/>
      <c r="L83" s="377"/>
      <c r="M83" s="377"/>
      <c r="N83" s="374" t="s">
        <v>1044</v>
      </c>
    </row>
    <row r="84" spans="2:14" ht="15" customHeight="1" x14ac:dyDescent="0.25">
      <c r="B84" s="374" t="s">
        <v>997</v>
      </c>
      <c r="C84" s="374">
        <v>35</v>
      </c>
      <c r="D84" s="374"/>
      <c r="E84" s="374" t="s">
        <v>1072</v>
      </c>
      <c r="F84" s="374">
        <v>58.02</v>
      </c>
      <c r="G84" s="374">
        <v>608</v>
      </c>
      <c r="H84" s="374">
        <v>10.48</v>
      </c>
      <c r="I84" s="377" t="s">
        <v>1159</v>
      </c>
      <c r="J84" s="378">
        <v>6000</v>
      </c>
      <c r="K84" s="377"/>
      <c r="L84" s="377"/>
      <c r="M84" s="377"/>
      <c r="N84" s="374" t="s">
        <v>1044</v>
      </c>
    </row>
    <row r="85" spans="2:14" ht="15" customHeight="1" x14ac:dyDescent="0.25">
      <c r="B85" s="374" t="s">
        <v>997</v>
      </c>
      <c r="C85" s="374">
        <v>36</v>
      </c>
      <c r="D85" s="374"/>
      <c r="E85" s="374" t="s">
        <v>1073</v>
      </c>
      <c r="F85" s="374">
        <v>13.85</v>
      </c>
      <c r="G85" s="374">
        <v>365</v>
      </c>
      <c r="H85" s="374">
        <v>26.35</v>
      </c>
      <c r="I85" s="377" t="s">
        <v>1159</v>
      </c>
      <c r="J85" s="378">
        <v>6000</v>
      </c>
      <c r="K85" s="377"/>
      <c r="L85" s="377"/>
      <c r="M85" s="377"/>
      <c r="N85" s="374" t="s">
        <v>1044</v>
      </c>
    </row>
    <row r="86" spans="2:14" ht="15" customHeight="1" x14ac:dyDescent="0.25">
      <c r="B86" s="374" t="s">
        <v>997</v>
      </c>
      <c r="C86" s="374">
        <v>37</v>
      </c>
      <c r="D86" s="374"/>
      <c r="E86" s="374" t="s">
        <v>1074</v>
      </c>
      <c r="F86" s="374">
        <v>10.23</v>
      </c>
      <c r="G86" s="374">
        <v>123</v>
      </c>
      <c r="H86" s="374">
        <v>12.02</v>
      </c>
      <c r="I86" s="377" t="s">
        <v>1159</v>
      </c>
      <c r="J86" s="378">
        <v>6000</v>
      </c>
      <c r="K86" s="377"/>
      <c r="L86" s="377"/>
      <c r="M86" s="377"/>
      <c r="N86" s="374" t="s">
        <v>1044</v>
      </c>
    </row>
    <row r="87" spans="2:14" ht="15" customHeight="1" x14ac:dyDescent="0.25">
      <c r="B87" s="374" t="s">
        <v>988</v>
      </c>
      <c r="C87" s="374">
        <v>19</v>
      </c>
      <c r="D87" s="374"/>
      <c r="E87" s="374" t="s">
        <v>1075</v>
      </c>
      <c r="F87" s="374">
        <v>11.25</v>
      </c>
      <c r="G87" s="375">
        <v>1473</v>
      </c>
      <c r="H87" s="374">
        <v>130.93</v>
      </c>
      <c r="I87" s="377" t="s">
        <v>1159</v>
      </c>
      <c r="J87" s="378">
        <v>6000</v>
      </c>
      <c r="K87" s="377"/>
      <c r="L87" s="377"/>
      <c r="M87" s="377"/>
      <c r="N87" s="374" t="s">
        <v>1044</v>
      </c>
    </row>
    <row r="88" spans="2:14" ht="15" customHeight="1" x14ac:dyDescent="0.25">
      <c r="B88" s="374" t="s">
        <v>985</v>
      </c>
      <c r="C88" s="374">
        <v>44</v>
      </c>
      <c r="D88" s="374"/>
      <c r="E88" s="374" t="s">
        <v>1076</v>
      </c>
      <c r="F88" s="374">
        <v>17.72</v>
      </c>
      <c r="G88" s="374">
        <v>889</v>
      </c>
      <c r="H88" s="374">
        <v>50.17</v>
      </c>
      <c r="I88" s="377" t="s">
        <v>1159</v>
      </c>
      <c r="J88" s="378">
        <v>6000</v>
      </c>
      <c r="K88" s="377"/>
      <c r="L88" s="377"/>
      <c r="M88" s="377"/>
      <c r="N88" s="374" t="s">
        <v>1044</v>
      </c>
    </row>
    <row r="89" spans="2:14" ht="15" customHeight="1" x14ac:dyDescent="0.25">
      <c r="B89" s="374" t="s">
        <v>982</v>
      </c>
      <c r="C89" s="374">
        <v>42</v>
      </c>
      <c r="D89" s="374"/>
      <c r="E89" s="374" t="s">
        <v>1077</v>
      </c>
      <c r="F89" s="374">
        <v>15.86</v>
      </c>
      <c r="G89" s="374">
        <v>584</v>
      </c>
      <c r="H89" s="374">
        <v>36.82</v>
      </c>
      <c r="I89" s="377" t="s">
        <v>1159</v>
      </c>
      <c r="J89" s="378">
        <v>6000</v>
      </c>
      <c r="K89" s="377"/>
      <c r="L89" s="377"/>
      <c r="M89" s="377"/>
      <c r="N89" s="374" t="s">
        <v>1044</v>
      </c>
    </row>
    <row r="90" spans="2:14" ht="15" customHeight="1" x14ac:dyDescent="0.25">
      <c r="B90" s="374" t="s">
        <v>997</v>
      </c>
      <c r="C90" s="374">
        <v>41</v>
      </c>
      <c r="D90" s="374"/>
      <c r="E90" s="374" t="s">
        <v>1078</v>
      </c>
      <c r="F90" s="374">
        <v>9.9499999999999993</v>
      </c>
      <c r="G90" s="374">
        <v>546</v>
      </c>
      <c r="H90" s="374">
        <v>54.87</v>
      </c>
      <c r="I90" s="377" t="s">
        <v>1159</v>
      </c>
      <c r="J90" s="378">
        <v>6000</v>
      </c>
      <c r="K90" s="377"/>
      <c r="L90" s="377"/>
      <c r="M90" s="377"/>
      <c r="N90" s="374" t="s">
        <v>1044</v>
      </c>
    </row>
    <row r="91" spans="2:14" ht="15" customHeight="1" x14ac:dyDescent="0.25">
      <c r="B91" s="374" t="s">
        <v>985</v>
      </c>
      <c r="C91" s="374">
        <v>50</v>
      </c>
      <c r="D91" s="374"/>
      <c r="E91" s="374" t="s">
        <v>1079</v>
      </c>
      <c r="F91" s="374">
        <v>8.2100000000000009</v>
      </c>
      <c r="G91" s="374">
        <v>640</v>
      </c>
      <c r="H91" s="374">
        <v>77.95</v>
      </c>
      <c r="I91" s="377" t="s">
        <v>1159</v>
      </c>
      <c r="J91" s="378">
        <v>6000</v>
      </c>
      <c r="K91" s="377"/>
      <c r="L91" s="377"/>
      <c r="M91" s="377"/>
      <c r="N91" s="374" t="s">
        <v>1044</v>
      </c>
    </row>
    <row r="92" spans="2:14" ht="15" customHeight="1" x14ac:dyDescent="0.25">
      <c r="B92" s="374" t="s">
        <v>985</v>
      </c>
      <c r="C92" s="374">
        <v>51</v>
      </c>
      <c r="D92" s="374"/>
      <c r="E92" s="374" t="s">
        <v>1080</v>
      </c>
      <c r="F92" s="374">
        <v>24.87</v>
      </c>
      <c r="G92" s="374">
        <v>855</v>
      </c>
      <c r="H92" s="374">
        <v>34.380000000000003</v>
      </c>
      <c r="I92" s="377" t="s">
        <v>1159</v>
      </c>
      <c r="J92" s="378">
        <v>6000</v>
      </c>
      <c r="K92" s="377"/>
      <c r="L92" s="377"/>
      <c r="M92" s="377"/>
      <c r="N92" s="374" t="s">
        <v>1044</v>
      </c>
    </row>
    <row r="93" spans="2:14" ht="15" customHeight="1" x14ac:dyDescent="0.25">
      <c r="B93" s="374" t="s">
        <v>997</v>
      </c>
      <c r="C93" s="374">
        <v>46</v>
      </c>
      <c r="D93" s="374"/>
      <c r="E93" s="374" t="s">
        <v>1081</v>
      </c>
      <c r="F93" s="374">
        <v>27.7</v>
      </c>
      <c r="G93" s="374">
        <v>629</v>
      </c>
      <c r="H93" s="374">
        <v>22.71</v>
      </c>
      <c r="I93" s="377" t="s">
        <v>1159</v>
      </c>
      <c r="J93" s="378">
        <v>6000</v>
      </c>
      <c r="K93" s="377"/>
      <c r="L93" s="377"/>
      <c r="M93" s="377"/>
      <c r="N93" s="374" t="s">
        <v>1044</v>
      </c>
    </row>
    <row r="94" spans="2:14" ht="15" customHeight="1" x14ac:dyDescent="0.25">
      <c r="B94" s="374" t="s">
        <v>982</v>
      </c>
      <c r="C94" s="374">
        <v>45</v>
      </c>
      <c r="D94" s="374"/>
      <c r="E94" s="374" t="s">
        <v>1082</v>
      </c>
      <c r="F94" s="374">
        <v>16.8</v>
      </c>
      <c r="G94" s="374">
        <v>156</v>
      </c>
      <c r="H94" s="374">
        <v>9.2899999999999991</v>
      </c>
      <c r="I94" s="377" t="s">
        <v>1159</v>
      </c>
      <c r="J94" s="378">
        <v>6000</v>
      </c>
      <c r="K94" s="377"/>
      <c r="L94" s="377"/>
      <c r="M94" s="377"/>
      <c r="N94" s="374" t="s">
        <v>1044</v>
      </c>
    </row>
    <row r="95" spans="2:14" ht="15" customHeight="1" x14ac:dyDescent="0.25">
      <c r="B95" s="374" t="s">
        <v>988</v>
      </c>
      <c r="C95" s="374">
        <v>25</v>
      </c>
      <c r="D95" s="374"/>
      <c r="E95" s="374" t="s">
        <v>1083</v>
      </c>
      <c r="F95" s="374">
        <v>32.26</v>
      </c>
      <c r="G95" s="374">
        <v>752</v>
      </c>
      <c r="H95" s="374">
        <v>23.31</v>
      </c>
      <c r="I95" s="377" t="s">
        <v>1159</v>
      </c>
      <c r="J95" s="378">
        <v>6000</v>
      </c>
      <c r="K95" s="377"/>
      <c r="L95" s="377"/>
      <c r="M95" s="377"/>
      <c r="N95" s="374" t="s">
        <v>1044</v>
      </c>
    </row>
    <row r="96" spans="2:14" ht="15" customHeight="1" x14ac:dyDescent="0.25">
      <c r="B96" s="374" t="s">
        <v>982</v>
      </c>
      <c r="C96" s="374">
        <v>52</v>
      </c>
      <c r="D96" s="374"/>
      <c r="E96" s="374" t="s">
        <v>1084</v>
      </c>
      <c r="F96" s="374">
        <v>45.07</v>
      </c>
      <c r="G96" s="374">
        <v>566</v>
      </c>
      <c r="H96" s="374">
        <v>12.56</v>
      </c>
      <c r="I96" s="377" t="s">
        <v>1159</v>
      </c>
      <c r="J96" s="378">
        <v>6000</v>
      </c>
      <c r="K96" s="377"/>
      <c r="L96" s="377"/>
      <c r="M96" s="377"/>
      <c r="N96" s="374" t="s">
        <v>1044</v>
      </c>
    </row>
    <row r="97" spans="2:14" ht="15" customHeight="1" x14ac:dyDescent="0.25">
      <c r="B97" s="374" t="s">
        <v>985</v>
      </c>
      <c r="C97" s="374">
        <v>55</v>
      </c>
      <c r="D97" s="374"/>
      <c r="E97" s="374" t="s">
        <v>1085</v>
      </c>
      <c r="F97" s="374">
        <v>100.45</v>
      </c>
      <c r="G97" s="375">
        <v>1818</v>
      </c>
      <c r="H97" s="374">
        <v>18.100000000000001</v>
      </c>
      <c r="I97" s="377" t="s">
        <v>1159</v>
      </c>
      <c r="J97" s="378">
        <v>6000</v>
      </c>
      <c r="K97" s="377"/>
      <c r="L97" s="377"/>
      <c r="M97" s="377"/>
      <c r="N97" s="374" t="s">
        <v>1044</v>
      </c>
    </row>
    <row r="98" spans="2:14" ht="15" customHeight="1" x14ac:dyDescent="0.25">
      <c r="B98" s="374" t="s">
        <v>985</v>
      </c>
      <c r="C98" s="374">
        <v>59</v>
      </c>
      <c r="D98" s="374"/>
      <c r="E98" s="374" t="s">
        <v>1086</v>
      </c>
      <c r="F98" s="374">
        <v>17.55</v>
      </c>
      <c r="G98" s="374">
        <v>843</v>
      </c>
      <c r="H98" s="374">
        <v>48.03</v>
      </c>
      <c r="I98" s="377" t="s">
        <v>1159</v>
      </c>
      <c r="J98" s="378">
        <v>6000</v>
      </c>
      <c r="K98" s="377"/>
      <c r="L98" s="377"/>
      <c r="M98" s="377"/>
      <c r="N98" s="374" t="s">
        <v>1044</v>
      </c>
    </row>
    <row r="99" spans="2:14" ht="15" customHeight="1" x14ac:dyDescent="0.25">
      <c r="B99" s="374" t="s">
        <v>997</v>
      </c>
      <c r="C99" s="374">
        <v>60</v>
      </c>
      <c r="D99" s="374"/>
      <c r="E99" s="374" t="s">
        <v>1087</v>
      </c>
      <c r="F99" s="374">
        <v>1.86</v>
      </c>
      <c r="G99" s="374">
        <v>231</v>
      </c>
      <c r="H99" s="374">
        <v>124.19</v>
      </c>
      <c r="I99" s="377" t="s">
        <v>1159</v>
      </c>
      <c r="J99" s="378">
        <v>6000</v>
      </c>
      <c r="K99" s="377"/>
      <c r="L99" s="377"/>
      <c r="M99" s="377"/>
      <c r="N99" s="374" t="s">
        <v>1044</v>
      </c>
    </row>
    <row r="100" spans="2:14" ht="15" customHeight="1" x14ac:dyDescent="0.25">
      <c r="B100" s="374" t="s">
        <v>982</v>
      </c>
      <c r="C100" s="374">
        <v>61</v>
      </c>
      <c r="D100" s="374"/>
      <c r="E100" s="374" t="s">
        <v>1088</v>
      </c>
      <c r="F100" s="374">
        <v>24.47</v>
      </c>
      <c r="G100" s="374">
        <v>560</v>
      </c>
      <c r="H100" s="374">
        <v>22.89</v>
      </c>
      <c r="I100" s="377" t="s">
        <v>1159</v>
      </c>
      <c r="J100" s="378">
        <v>6000</v>
      </c>
      <c r="K100" s="377"/>
      <c r="L100" s="377"/>
      <c r="M100" s="377"/>
      <c r="N100" s="374" t="s">
        <v>1044</v>
      </c>
    </row>
    <row r="101" spans="2:14" ht="15" customHeight="1" x14ac:dyDescent="0.25">
      <c r="B101" s="374" t="s">
        <v>985</v>
      </c>
      <c r="C101" s="374">
        <v>61</v>
      </c>
      <c r="D101" s="374"/>
      <c r="E101" s="374" t="s">
        <v>1089</v>
      </c>
      <c r="F101" s="374">
        <v>18.63</v>
      </c>
      <c r="G101" s="375">
        <v>2708</v>
      </c>
      <c r="H101" s="374">
        <v>145.36000000000001</v>
      </c>
      <c r="I101" s="377" t="s">
        <v>1159</v>
      </c>
      <c r="J101" s="378">
        <v>6000</v>
      </c>
      <c r="K101" s="377"/>
      <c r="L101" s="377"/>
      <c r="M101" s="377"/>
      <c r="N101" s="374" t="s">
        <v>1044</v>
      </c>
    </row>
    <row r="102" spans="2:14" ht="15" customHeight="1" x14ac:dyDescent="0.25">
      <c r="B102" s="374" t="s">
        <v>982</v>
      </c>
      <c r="C102" s="374">
        <v>63</v>
      </c>
      <c r="D102" s="374"/>
      <c r="E102" s="374" t="s">
        <v>1090</v>
      </c>
      <c r="F102" s="374">
        <v>7.05</v>
      </c>
      <c r="G102" s="374">
        <v>628</v>
      </c>
      <c r="H102" s="374">
        <v>89.08</v>
      </c>
      <c r="I102" s="377" t="s">
        <v>1159</v>
      </c>
      <c r="J102" s="378">
        <v>6000</v>
      </c>
      <c r="K102" s="377"/>
      <c r="L102" s="377"/>
      <c r="M102" s="377"/>
      <c r="N102" s="374" t="s">
        <v>1044</v>
      </c>
    </row>
    <row r="103" spans="2:14" ht="15" customHeight="1" x14ac:dyDescent="0.25">
      <c r="B103" s="374" t="s">
        <v>982</v>
      </c>
      <c r="C103" s="374">
        <v>65</v>
      </c>
      <c r="D103" s="374"/>
      <c r="E103" s="374" t="s">
        <v>1091</v>
      </c>
      <c r="F103" s="374">
        <v>35.130000000000003</v>
      </c>
      <c r="G103" s="374">
        <v>817</v>
      </c>
      <c r="H103" s="374">
        <v>23.26</v>
      </c>
      <c r="I103" s="377" t="s">
        <v>1159</v>
      </c>
      <c r="J103" s="378">
        <v>6000</v>
      </c>
      <c r="K103" s="377"/>
      <c r="L103" s="377"/>
      <c r="M103" s="377"/>
      <c r="N103" s="374" t="s">
        <v>1044</v>
      </c>
    </row>
    <row r="104" spans="2:14" ht="15" customHeight="1" x14ac:dyDescent="0.25">
      <c r="B104" s="374" t="s">
        <v>997</v>
      </c>
      <c r="C104" s="374">
        <v>67</v>
      </c>
      <c r="D104" s="374"/>
      <c r="E104" s="374" t="s">
        <v>1092</v>
      </c>
      <c r="F104" s="374">
        <v>9.6199999999999992</v>
      </c>
      <c r="G104" s="374">
        <v>452</v>
      </c>
      <c r="H104" s="374">
        <v>46.99</v>
      </c>
      <c r="I104" s="377" t="s">
        <v>1159</v>
      </c>
      <c r="J104" s="378">
        <v>6000</v>
      </c>
      <c r="K104" s="377"/>
      <c r="L104" s="377"/>
      <c r="M104" s="377"/>
      <c r="N104" s="374" t="s">
        <v>1044</v>
      </c>
    </row>
    <row r="105" spans="2:14" ht="15" customHeight="1" x14ac:dyDescent="0.25">
      <c r="B105" s="374" t="s">
        <v>985</v>
      </c>
      <c r="C105" s="374">
        <v>69</v>
      </c>
      <c r="D105" s="374"/>
      <c r="E105" s="374" t="s">
        <v>1093</v>
      </c>
      <c r="F105" s="374">
        <v>10.74</v>
      </c>
      <c r="G105" s="374">
        <v>313</v>
      </c>
      <c r="H105" s="374">
        <v>29.14</v>
      </c>
      <c r="I105" s="377" t="s">
        <v>1159</v>
      </c>
      <c r="J105" s="378">
        <v>6000</v>
      </c>
      <c r="K105" s="377"/>
      <c r="L105" s="377"/>
      <c r="M105" s="377"/>
      <c r="N105" s="374" t="s">
        <v>1044</v>
      </c>
    </row>
    <row r="106" spans="2:14" ht="15" customHeight="1" x14ac:dyDescent="0.25">
      <c r="B106" s="374" t="s">
        <v>997</v>
      </c>
      <c r="C106" s="374">
        <v>1</v>
      </c>
      <c r="D106" s="374"/>
      <c r="E106" s="374" t="s">
        <v>1094</v>
      </c>
      <c r="F106" s="374">
        <v>14.74</v>
      </c>
      <c r="G106" s="374">
        <v>452</v>
      </c>
      <c r="H106" s="374">
        <v>30.66</v>
      </c>
      <c r="I106" s="377" t="s">
        <v>1160</v>
      </c>
      <c r="J106" s="378">
        <v>8000</v>
      </c>
      <c r="K106" s="377"/>
      <c r="L106" s="377"/>
      <c r="M106" s="377"/>
      <c r="N106" s="374" t="s">
        <v>1095</v>
      </c>
    </row>
    <row r="107" spans="2:14" ht="15" customHeight="1" x14ac:dyDescent="0.25">
      <c r="B107" s="374" t="s">
        <v>997</v>
      </c>
      <c r="C107" s="374">
        <v>2</v>
      </c>
      <c r="D107" s="374"/>
      <c r="E107" s="374" t="s">
        <v>1096</v>
      </c>
      <c r="F107" s="374">
        <v>19.68</v>
      </c>
      <c r="G107" s="374">
        <v>618</v>
      </c>
      <c r="H107" s="374">
        <v>31.4</v>
      </c>
      <c r="I107" s="377" t="s">
        <v>1160</v>
      </c>
      <c r="J107" s="378">
        <v>8000</v>
      </c>
      <c r="K107" s="377"/>
      <c r="L107" s="377"/>
      <c r="M107" s="377"/>
      <c r="N107" s="374" t="s">
        <v>1095</v>
      </c>
    </row>
    <row r="108" spans="2:14" ht="15" customHeight="1" x14ac:dyDescent="0.25">
      <c r="B108" s="374" t="s">
        <v>997</v>
      </c>
      <c r="C108" s="374">
        <v>3</v>
      </c>
      <c r="D108" s="374"/>
      <c r="E108" s="374" t="s">
        <v>1097</v>
      </c>
      <c r="F108" s="374">
        <v>10.08</v>
      </c>
      <c r="G108" s="374">
        <v>174</v>
      </c>
      <c r="H108" s="374">
        <v>17.260000000000002</v>
      </c>
      <c r="I108" s="377" t="s">
        <v>1160</v>
      </c>
      <c r="J108" s="378">
        <v>8000</v>
      </c>
      <c r="K108" s="377"/>
      <c r="L108" s="377"/>
      <c r="M108" s="377"/>
      <c r="N108" s="374" t="s">
        <v>1095</v>
      </c>
    </row>
    <row r="109" spans="2:14" ht="15" customHeight="1" x14ac:dyDescent="0.25">
      <c r="B109" s="374" t="s">
        <v>997</v>
      </c>
      <c r="C109" s="374">
        <v>4</v>
      </c>
      <c r="D109" s="374"/>
      <c r="E109" s="374" t="s">
        <v>1098</v>
      </c>
      <c r="F109" s="374">
        <v>9.26</v>
      </c>
      <c r="G109" s="374">
        <v>120</v>
      </c>
      <c r="H109" s="374">
        <v>12.96</v>
      </c>
      <c r="I109" s="377" t="s">
        <v>1160</v>
      </c>
      <c r="J109" s="378">
        <v>8000</v>
      </c>
      <c r="K109" s="377"/>
      <c r="L109" s="377"/>
      <c r="M109" s="377"/>
      <c r="N109" s="374" t="s">
        <v>1095</v>
      </c>
    </row>
    <row r="110" spans="2:14" ht="15" customHeight="1" x14ac:dyDescent="0.25">
      <c r="B110" s="374" t="s">
        <v>997</v>
      </c>
      <c r="C110" s="374">
        <v>5</v>
      </c>
      <c r="D110" s="374"/>
      <c r="E110" s="374" t="s">
        <v>1099</v>
      </c>
      <c r="F110" s="374">
        <v>9.4600000000000009</v>
      </c>
      <c r="G110" s="374">
        <v>346</v>
      </c>
      <c r="H110" s="374">
        <v>36.58</v>
      </c>
      <c r="I110" s="377" t="s">
        <v>1160</v>
      </c>
      <c r="J110" s="378">
        <v>8000</v>
      </c>
      <c r="K110" s="377"/>
      <c r="L110" s="377"/>
      <c r="M110" s="377"/>
      <c r="N110" s="374" t="s">
        <v>1095</v>
      </c>
    </row>
    <row r="111" spans="2:14" ht="15" customHeight="1" x14ac:dyDescent="0.25">
      <c r="B111" s="374" t="s">
        <v>997</v>
      </c>
      <c r="C111" s="374">
        <v>7</v>
      </c>
      <c r="D111" s="374"/>
      <c r="E111" s="374" t="s">
        <v>1100</v>
      </c>
      <c r="F111" s="374">
        <v>24.54</v>
      </c>
      <c r="G111" s="374">
        <v>323</v>
      </c>
      <c r="H111" s="374">
        <v>13.16</v>
      </c>
      <c r="I111" s="377" t="s">
        <v>1160</v>
      </c>
      <c r="J111" s="378">
        <v>8000</v>
      </c>
      <c r="K111" s="377"/>
      <c r="L111" s="377"/>
      <c r="M111" s="377"/>
      <c r="N111" s="374" t="s">
        <v>1095</v>
      </c>
    </row>
    <row r="112" spans="2:14" ht="15" customHeight="1" x14ac:dyDescent="0.25">
      <c r="B112" s="374" t="s">
        <v>985</v>
      </c>
      <c r="C112" s="374">
        <v>8</v>
      </c>
      <c r="D112" s="374"/>
      <c r="E112" s="374" t="s">
        <v>1101</v>
      </c>
      <c r="F112" s="374">
        <v>11.27</v>
      </c>
      <c r="G112" s="374">
        <v>586</v>
      </c>
      <c r="H112" s="374">
        <v>52</v>
      </c>
      <c r="I112" s="377" t="s">
        <v>1160</v>
      </c>
      <c r="J112" s="378">
        <v>8000</v>
      </c>
      <c r="K112" s="377"/>
      <c r="L112" s="377"/>
      <c r="M112" s="377"/>
      <c r="N112" s="374" t="s">
        <v>1095</v>
      </c>
    </row>
    <row r="113" spans="2:14" ht="15" customHeight="1" x14ac:dyDescent="0.25">
      <c r="B113" s="374" t="s">
        <v>985</v>
      </c>
      <c r="C113" s="374">
        <v>9</v>
      </c>
      <c r="D113" s="374"/>
      <c r="E113" s="374" t="s">
        <v>1102</v>
      </c>
      <c r="F113" s="374">
        <v>29.6</v>
      </c>
      <c r="G113" s="374">
        <v>701</v>
      </c>
      <c r="H113" s="374">
        <v>23.68</v>
      </c>
      <c r="I113" s="377" t="s">
        <v>1160</v>
      </c>
      <c r="J113" s="378">
        <v>8000</v>
      </c>
      <c r="K113" s="377"/>
      <c r="L113" s="377"/>
      <c r="M113" s="377"/>
      <c r="N113" s="374" t="s">
        <v>1095</v>
      </c>
    </row>
    <row r="114" spans="2:14" ht="15" customHeight="1" x14ac:dyDescent="0.25">
      <c r="B114" s="374" t="s">
        <v>997</v>
      </c>
      <c r="C114" s="374">
        <v>9</v>
      </c>
      <c r="D114" s="374"/>
      <c r="E114" s="374" t="s">
        <v>1103</v>
      </c>
      <c r="F114" s="374">
        <v>25.54</v>
      </c>
      <c r="G114" s="374">
        <v>474</v>
      </c>
      <c r="H114" s="374">
        <v>18.559999999999999</v>
      </c>
      <c r="I114" s="377" t="s">
        <v>1160</v>
      </c>
      <c r="J114" s="378">
        <v>8000</v>
      </c>
      <c r="K114" s="377"/>
      <c r="L114" s="377"/>
      <c r="M114" s="377"/>
      <c r="N114" s="374" t="s">
        <v>1095</v>
      </c>
    </row>
    <row r="115" spans="2:14" ht="15" customHeight="1" x14ac:dyDescent="0.25">
      <c r="B115" s="374" t="s">
        <v>985</v>
      </c>
      <c r="C115" s="374">
        <v>14</v>
      </c>
      <c r="D115" s="374"/>
      <c r="E115" s="374" t="s">
        <v>1104</v>
      </c>
      <c r="F115" s="374">
        <v>22.43</v>
      </c>
      <c r="G115" s="374">
        <v>404</v>
      </c>
      <c r="H115" s="374">
        <v>18.010000000000002</v>
      </c>
      <c r="I115" s="377" t="s">
        <v>1160</v>
      </c>
      <c r="J115" s="378">
        <v>8000</v>
      </c>
      <c r="K115" s="377"/>
      <c r="L115" s="377"/>
      <c r="M115" s="377"/>
      <c r="N115" s="374" t="s">
        <v>1095</v>
      </c>
    </row>
    <row r="116" spans="2:14" ht="15" customHeight="1" x14ac:dyDescent="0.25">
      <c r="B116" s="374" t="s">
        <v>985</v>
      </c>
      <c r="C116" s="374">
        <v>17</v>
      </c>
      <c r="D116" s="374"/>
      <c r="E116" s="374" t="s">
        <v>1105</v>
      </c>
      <c r="F116" s="374">
        <v>63.21</v>
      </c>
      <c r="G116" s="375">
        <v>1532</v>
      </c>
      <c r="H116" s="374">
        <v>24.24</v>
      </c>
      <c r="I116" s="377" t="s">
        <v>1160</v>
      </c>
      <c r="J116" s="378">
        <v>8000</v>
      </c>
      <c r="K116" s="377"/>
      <c r="L116" s="377"/>
      <c r="M116" s="377"/>
      <c r="N116" s="374" t="s">
        <v>1095</v>
      </c>
    </row>
    <row r="117" spans="2:14" ht="15" customHeight="1" x14ac:dyDescent="0.25">
      <c r="B117" s="374" t="s">
        <v>997</v>
      </c>
      <c r="C117" s="374">
        <v>12</v>
      </c>
      <c r="D117" s="374"/>
      <c r="E117" s="374" t="s">
        <v>1106</v>
      </c>
      <c r="F117" s="374">
        <v>4.9000000000000004</v>
      </c>
      <c r="G117" s="374">
        <v>293</v>
      </c>
      <c r="H117" s="374">
        <v>59.8</v>
      </c>
      <c r="I117" s="377" t="s">
        <v>1160</v>
      </c>
      <c r="J117" s="378">
        <v>8000</v>
      </c>
      <c r="K117" s="377"/>
      <c r="L117" s="377"/>
      <c r="M117" s="377"/>
      <c r="N117" s="374" t="s">
        <v>1095</v>
      </c>
    </row>
    <row r="118" spans="2:14" ht="15" customHeight="1" x14ac:dyDescent="0.25">
      <c r="B118" s="374" t="s">
        <v>997</v>
      </c>
      <c r="C118" s="374">
        <v>13</v>
      </c>
      <c r="D118" s="374"/>
      <c r="E118" s="374" t="s">
        <v>1107</v>
      </c>
      <c r="F118" s="374">
        <v>16.05</v>
      </c>
      <c r="G118" s="374">
        <v>160</v>
      </c>
      <c r="H118" s="374">
        <v>9.9700000000000006</v>
      </c>
      <c r="I118" s="377" t="s">
        <v>1160</v>
      </c>
      <c r="J118" s="378">
        <v>8000</v>
      </c>
      <c r="K118" s="377"/>
      <c r="L118" s="377"/>
      <c r="M118" s="377"/>
      <c r="N118" s="374" t="s">
        <v>1095</v>
      </c>
    </row>
    <row r="119" spans="2:14" ht="15" customHeight="1" x14ac:dyDescent="0.25">
      <c r="B119" s="374" t="s">
        <v>988</v>
      </c>
      <c r="C119" s="374">
        <v>9</v>
      </c>
      <c r="D119" s="374"/>
      <c r="E119" s="374" t="s">
        <v>1108</v>
      </c>
      <c r="F119" s="374">
        <v>33.619999999999997</v>
      </c>
      <c r="G119" s="374">
        <v>576</v>
      </c>
      <c r="H119" s="374">
        <v>17.13</v>
      </c>
      <c r="I119" s="377" t="s">
        <v>1160</v>
      </c>
      <c r="J119" s="378">
        <v>8000</v>
      </c>
      <c r="K119" s="377"/>
      <c r="L119" s="377"/>
      <c r="M119" s="377"/>
      <c r="N119" s="374" t="s">
        <v>1095</v>
      </c>
    </row>
    <row r="120" spans="2:14" ht="15" customHeight="1" x14ac:dyDescent="0.25">
      <c r="B120" s="374" t="s">
        <v>997</v>
      </c>
      <c r="C120" s="374">
        <v>15</v>
      </c>
      <c r="D120" s="374"/>
      <c r="E120" s="374" t="s">
        <v>1109</v>
      </c>
      <c r="F120" s="374">
        <v>25.71</v>
      </c>
      <c r="G120" s="374">
        <v>323</v>
      </c>
      <c r="H120" s="374">
        <v>12.56</v>
      </c>
      <c r="I120" s="377" t="s">
        <v>1160</v>
      </c>
      <c r="J120" s="378">
        <v>8000</v>
      </c>
      <c r="K120" s="377"/>
      <c r="L120" s="377"/>
      <c r="M120" s="377"/>
      <c r="N120" s="374" t="s">
        <v>1095</v>
      </c>
    </row>
    <row r="121" spans="2:14" ht="15" customHeight="1" x14ac:dyDescent="0.25">
      <c r="B121" s="374" t="s">
        <v>985</v>
      </c>
      <c r="C121" s="374">
        <v>21</v>
      </c>
      <c r="D121" s="374"/>
      <c r="E121" s="374" t="s">
        <v>1110</v>
      </c>
      <c r="F121" s="374">
        <v>16.68</v>
      </c>
      <c r="G121" s="374">
        <v>166</v>
      </c>
      <c r="H121" s="374">
        <v>9.9499999999999993</v>
      </c>
      <c r="I121" s="377" t="s">
        <v>1160</v>
      </c>
      <c r="J121" s="378">
        <v>8000</v>
      </c>
      <c r="K121" s="377"/>
      <c r="L121" s="377"/>
      <c r="M121" s="377"/>
      <c r="N121" s="374" t="s">
        <v>1095</v>
      </c>
    </row>
    <row r="122" spans="2:14" ht="15" customHeight="1" x14ac:dyDescent="0.25">
      <c r="B122" s="374" t="s">
        <v>997</v>
      </c>
      <c r="C122" s="374">
        <v>18</v>
      </c>
      <c r="D122" s="374"/>
      <c r="E122" s="374" t="s">
        <v>1111</v>
      </c>
      <c r="F122" s="374">
        <v>8.92</v>
      </c>
      <c r="G122" s="374">
        <v>294</v>
      </c>
      <c r="H122" s="374">
        <v>32.96</v>
      </c>
      <c r="I122" s="377" t="s">
        <v>1160</v>
      </c>
      <c r="J122" s="378">
        <v>8000</v>
      </c>
      <c r="K122" s="377"/>
      <c r="L122" s="377"/>
      <c r="M122" s="377"/>
      <c r="N122" s="374" t="s">
        <v>1095</v>
      </c>
    </row>
    <row r="123" spans="2:14" ht="15" customHeight="1" x14ac:dyDescent="0.25">
      <c r="B123" s="374" t="s">
        <v>997</v>
      </c>
      <c r="C123" s="374">
        <v>23</v>
      </c>
      <c r="D123" s="374"/>
      <c r="E123" s="374" t="s">
        <v>1112</v>
      </c>
      <c r="F123" s="374">
        <v>40.53</v>
      </c>
      <c r="G123" s="374">
        <v>242</v>
      </c>
      <c r="H123" s="374">
        <v>5.97</v>
      </c>
      <c r="I123" s="377" t="s">
        <v>1160</v>
      </c>
      <c r="J123" s="378">
        <v>8000</v>
      </c>
      <c r="K123" s="377"/>
      <c r="L123" s="377"/>
      <c r="M123" s="377"/>
      <c r="N123" s="374" t="s">
        <v>1095</v>
      </c>
    </row>
    <row r="124" spans="2:14" ht="15" customHeight="1" x14ac:dyDescent="0.25">
      <c r="B124" s="374" t="s">
        <v>985</v>
      </c>
      <c r="C124" s="374">
        <v>27</v>
      </c>
      <c r="D124" s="374"/>
      <c r="E124" s="374" t="s">
        <v>1113</v>
      </c>
      <c r="F124" s="374">
        <v>67.77</v>
      </c>
      <c r="G124" s="375">
        <v>2020</v>
      </c>
      <c r="H124" s="374">
        <v>29.81</v>
      </c>
      <c r="I124" s="377" t="s">
        <v>1160</v>
      </c>
      <c r="J124" s="378">
        <v>8000</v>
      </c>
      <c r="K124" s="377"/>
      <c r="L124" s="377"/>
      <c r="M124" s="377"/>
      <c r="N124" s="374" t="s">
        <v>1095</v>
      </c>
    </row>
    <row r="125" spans="2:14" ht="15" customHeight="1" x14ac:dyDescent="0.25">
      <c r="B125" s="374" t="s">
        <v>997</v>
      </c>
      <c r="C125" s="374">
        <v>25</v>
      </c>
      <c r="D125" s="374"/>
      <c r="E125" s="374" t="s">
        <v>1114</v>
      </c>
      <c r="F125" s="374">
        <v>8.32</v>
      </c>
      <c r="G125" s="374">
        <v>682</v>
      </c>
      <c r="H125" s="374">
        <v>81.97</v>
      </c>
      <c r="I125" s="377" t="s">
        <v>1160</v>
      </c>
      <c r="J125" s="378">
        <v>8000</v>
      </c>
      <c r="K125" s="377"/>
      <c r="L125" s="377"/>
      <c r="M125" s="377"/>
      <c r="N125" s="374" t="s">
        <v>1095</v>
      </c>
    </row>
    <row r="126" spans="2:14" ht="15" customHeight="1" x14ac:dyDescent="0.25">
      <c r="B126" s="374" t="s">
        <v>982</v>
      </c>
      <c r="C126" s="374">
        <v>23</v>
      </c>
      <c r="D126" s="374"/>
      <c r="E126" s="374" t="s">
        <v>1115</v>
      </c>
      <c r="F126" s="374">
        <v>16.66</v>
      </c>
      <c r="G126" s="374">
        <v>482</v>
      </c>
      <c r="H126" s="374">
        <v>28.93</v>
      </c>
      <c r="I126" s="377" t="s">
        <v>1160</v>
      </c>
      <c r="J126" s="378">
        <v>8000</v>
      </c>
      <c r="K126" s="377"/>
      <c r="L126" s="377"/>
      <c r="M126" s="377"/>
      <c r="N126" s="374" t="s">
        <v>1095</v>
      </c>
    </row>
    <row r="127" spans="2:14" ht="15" customHeight="1" x14ac:dyDescent="0.25">
      <c r="B127" s="374" t="s">
        <v>997</v>
      </c>
      <c r="C127" s="374">
        <v>32</v>
      </c>
      <c r="D127" s="374"/>
      <c r="E127" s="374" t="s">
        <v>1116</v>
      </c>
      <c r="F127" s="374">
        <v>12.4</v>
      </c>
      <c r="G127" s="374">
        <v>674</v>
      </c>
      <c r="H127" s="374">
        <v>54.35</v>
      </c>
      <c r="I127" s="377" t="s">
        <v>1160</v>
      </c>
      <c r="J127" s="378">
        <v>8000</v>
      </c>
      <c r="K127" s="377"/>
      <c r="L127" s="377"/>
      <c r="M127" s="377"/>
      <c r="N127" s="374" t="s">
        <v>1095</v>
      </c>
    </row>
    <row r="128" spans="2:14" ht="15" customHeight="1" x14ac:dyDescent="0.25">
      <c r="B128" s="374" t="s">
        <v>997</v>
      </c>
      <c r="C128" s="374">
        <v>33</v>
      </c>
      <c r="D128" s="374"/>
      <c r="E128" s="374" t="s">
        <v>1117</v>
      </c>
      <c r="F128" s="374">
        <v>8.1999999999999993</v>
      </c>
      <c r="G128" s="374">
        <v>283</v>
      </c>
      <c r="H128" s="374">
        <v>34.51</v>
      </c>
      <c r="I128" s="377" t="s">
        <v>1160</v>
      </c>
      <c r="J128" s="378">
        <v>8000</v>
      </c>
      <c r="K128" s="377"/>
      <c r="L128" s="377"/>
      <c r="M128" s="377"/>
      <c r="N128" s="374" t="s">
        <v>1095</v>
      </c>
    </row>
    <row r="129" spans="2:14" ht="15" customHeight="1" x14ac:dyDescent="0.25">
      <c r="B129" s="374" t="s">
        <v>988</v>
      </c>
      <c r="C129" s="374">
        <v>18</v>
      </c>
      <c r="D129" s="374"/>
      <c r="E129" s="374" t="s">
        <v>1118</v>
      </c>
      <c r="F129" s="374">
        <v>45.44</v>
      </c>
      <c r="G129" s="374">
        <v>644</v>
      </c>
      <c r="H129" s="374">
        <v>14.17</v>
      </c>
      <c r="I129" s="377" t="s">
        <v>1160</v>
      </c>
      <c r="J129" s="378">
        <v>8000</v>
      </c>
      <c r="K129" s="377"/>
      <c r="L129" s="377"/>
      <c r="M129" s="377"/>
      <c r="N129" s="374" t="s">
        <v>1095</v>
      </c>
    </row>
    <row r="130" spans="2:14" ht="15" customHeight="1" x14ac:dyDescent="0.25">
      <c r="B130" s="374" t="s">
        <v>985</v>
      </c>
      <c r="C130" s="374">
        <v>36</v>
      </c>
      <c r="D130" s="374"/>
      <c r="E130" s="374" t="s">
        <v>1119</v>
      </c>
      <c r="F130" s="374">
        <v>32.6</v>
      </c>
      <c r="G130" s="375">
        <v>1193</v>
      </c>
      <c r="H130" s="374">
        <v>36.6</v>
      </c>
      <c r="I130" s="377" t="s">
        <v>1160</v>
      </c>
      <c r="J130" s="378">
        <v>8000</v>
      </c>
      <c r="K130" s="377"/>
      <c r="L130" s="377"/>
      <c r="M130" s="377"/>
      <c r="N130" s="374" t="s">
        <v>1095</v>
      </c>
    </row>
    <row r="131" spans="2:14" ht="15" customHeight="1" x14ac:dyDescent="0.25">
      <c r="B131" s="374" t="s">
        <v>985</v>
      </c>
      <c r="C131" s="374">
        <v>37</v>
      </c>
      <c r="D131" s="374"/>
      <c r="E131" s="374" t="s">
        <v>1120</v>
      </c>
      <c r="F131" s="374">
        <v>7.73</v>
      </c>
      <c r="G131" s="374">
        <v>122</v>
      </c>
      <c r="H131" s="374">
        <v>15.78</v>
      </c>
      <c r="I131" s="377" t="s">
        <v>1160</v>
      </c>
      <c r="J131" s="378">
        <v>8000</v>
      </c>
      <c r="K131" s="377"/>
      <c r="L131" s="377"/>
      <c r="M131" s="377"/>
      <c r="N131" s="374" t="s">
        <v>1095</v>
      </c>
    </row>
    <row r="132" spans="2:14" ht="15" customHeight="1" x14ac:dyDescent="0.25">
      <c r="B132" s="374" t="s">
        <v>997</v>
      </c>
      <c r="C132" s="374">
        <v>34</v>
      </c>
      <c r="D132" s="374"/>
      <c r="E132" s="374" t="s">
        <v>1121</v>
      </c>
      <c r="F132" s="374">
        <v>30.72</v>
      </c>
      <c r="G132" s="374">
        <v>190</v>
      </c>
      <c r="H132" s="374">
        <v>6.18</v>
      </c>
      <c r="I132" s="377" t="s">
        <v>1160</v>
      </c>
      <c r="J132" s="378">
        <v>8000</v>
      </c>
      <c r="K132" s="377"/>
      <c r="L132" s="377"/>
      <c r="M132" s="377"/>
      <c r="N132" s="374" t="s">
        <v>1095</v>
      </c>
    </row>
    <row r="133" spans="2:14" ht="15" customHeight="1" x14ac:dyDescent="0.25">
      <c r="B133" s="374" t="s">
        <v>982</v>
      </c>
      <c r="C133" s="374">
        <v>34</v>
      </c>
      <c r="D133" s="374"/>
      <c r="E133" s="374" t="s">
        <v>1122</v>
      </c>
      <c r="F133" s="374">
        <v>28.81</v>
      </c>
      <c r="G133" s="375">
        <v>1636</v>
      </c>
      <c r="H133" s="374">
        <v>56.79</v>
      </c>
      <c r="I133" s="377" t="s">
        <v>1160</v>
      </c>
      <c r="J133" s="378">
        <v>8000</v>
      </c>
      <c r="K133" s="377"/>
      <c r="L133" s="377"/>
      <c r="M133" s="377"/>
      <c r="N133" s="374" t="s">
        <v>1095</v>
      </c>
    </row>
    <row r="134" spans="2:14" ht="15" customHeight="1" x14ac:dyDescent="0.25">
      <c r="B134" s="374" t="s">
        <v>985</v>
      </c>
      <c r="C134" s="374">
        <v>39</v>
      </c>
      <c r="D134" s="374"/>
      <c r="E134" s="374" t="s">
        <v>1123</v>
      </c>
      <c r="F134" s="374">
        <v>20.02</v>
      </c>
      <c r="G134" s="374">
        <v>538</v>
      </c>
      <c r="H134" s="374">
        <v>26.87</v>
      </c>
      <c r="I134" s="377" t="s">
        <v>1160</v>
      </c>
      <c r="J134" s="378">
        <v>8000</v>
      </c>
      <c r="K134" s="377"/>
      <c r="L134" s="377"/>
      <c r="M134" s="377"/>
      <c r="N134" s="374" t="s">
        <v>1095</v>
      </c>
    </row>
    <row r="135" spans="2:14" ht="15" customHeight="1" x14ac:dyDescent="0.25">
      <c r="B135" s="374" t="s">
        <v>982</v>
      </c>
      <c r="C135" s="374">
        <v>38</v>
      </c>
      <c r="D135" s="374"/>
      <c r="E135" s="374" t="s">
        <v>1124</v>
      </c>
      <c r="F135" s="374">
        <v>17.54</v>
      </c>
      <c r="G135" s="374">
        <v>233</v>
      </c>
      <c r="H135" s="374">
        <v>13.28</v>
      </c>
      <c r="I135" s="377" t="s">
        <v>1160</v>
      </c>
      <c r="J135" s="378">
        <v>8000</v>
      </c>
      <c r="K135" s="377"/>
      <c r="L135" s="377"/>
      <c r="M135" s="377"/>
      <c r="N135" s="374" t="s">
        <v>1095</v>
      </c>
    </row>
    <row r="136" spans="2:14" ht="15" customHeight="1" x14ac:dyDescent="0.25">
      <c r="B136" s="374" t="s">
        <v>985</v>
      </c>
      <c r="C136" s="374">
        <v>40</v>
      </c>
      <c r="D136" s="374"/>
      <c r="E136" s="374" t="s">
        <v>1125</v>
      </c>
      <c r="F136" s="374">
        <v>37.49</v>
      </c>
      <c r="G136" s="374">
        <v>851</v>
      </c>
      <c r="H136" s="374">
        <v>22.7</v>
      </c>
      <c r="I136" s="377" t="s">
        <v>1160</v>
      </c>
      <c r="J136" s="378">
        <v>8000</v>
      </c>
      <c r="K136" s="377"/>
      <c r="L136" s="377"/>
      <c r="M136" s="377"/>
      <c r="N136" s="374" t="s">
        <v>1095</v>
      </c>
    </row>
    <row r="137" spans="2:14" ht="15" customHeight="1" x14ac:dyDescent="0.25">
      <c r="B137" s="374" t="s">
        <v>985</v>
      </c>
      <c r="C137" s="374">
        <v>41</v>
      </c>
      <c r="D137" s="374"/>
      <c r="E137" s="374" t="s">
        <v>1126</v>
      </c>
      <c r="F137" s="374">
        <v>21.56</v>
      </c>
      <c r="G137" s="374">
        <v>212</v>
      </c>
      <c r="H137" s="374">
        <v>9.83</v>
      </c>
      <c r="I137" s="377" t="s">
        <v>1160</v>
      </c>
      <c r="J137" s="378">
        <v>8000</v>
      </c>
      <c r="K137" s="377"/>
      <c r="L137" s="377"/>
      <c r="M137" s="377"/>
      <c r="N137" s="374" t="s">
        <v>1095</v>
      </c>
    </row>
    <row r="138" spans="2:14" ht="15" customHeight="1" x14ac:dyDescent="0.25">
      <c r="B138" s="374" t="s">
        <v>982</v>
      </c>
      <c r="C138" s="374">
        <v>41</v>
      </c>
      <c r="D138" s="374"/>
      <c r="E138" s="374" t="s">
        <v>1127</v>
      </c>
      <c r="F138" s="374">
        <v>29.58</v>
      </c>
      <c r="G138" s="374">
        <v>954</v>
      </c>
      <c r="H138" s="374">
        <v>32.25</v>
      </c>
      <c r="I138" s="377" t="s">
        <v>1160</v>
      </c>
      <c r="J138" s="378">
        <v>8000</v>
      </c>
      <c r="K138" s="377"/>
      <c r="L138" s="377"/>
      <c r="M138" s="377"/>
      <c r="N138" s="374" t="s">
        <v>1095</v>
      </c>
    </row>
    <row r="139" spans="2:14" ht="15" customHeight="1" x14ac:dyDescent="0.25">
      <c r="B139" s="374" t="s">
        <v>997</v>
      </c>
      <c r="C139" s="374">
        <v>38</v>
      </c>
      <c r="D139" s="374"/>
      <c r="E139" s="374" t="s">
        <v>1128</v>
      </c>
      <c r="F139" s="374">
        <v>13.84</v>
      </c>
      <c r="G139" s="374">
        <v>211</v>
      </c>
      <c r="H139" s="374">
        <v>15.25</v>
      </c>
      <c r="I139" s="377" t="s">
        <v>1160</v>
      </c>
      <c r="J139" s="378">
        <v>8000</v>
      </c>
      <c r="K139" s="377"/>
      <c r="L139" s="377"/>
      <c r="M139" s="377"/>
      <c r="N139" s="374" t="s">
        <v>1095</v>
      </c>
    </row>
    <row r="140" spans="2:14" ht="15" customHeight="1" x14ac:dyDescent="0.25">
      <c r="B140" s="374" t="s">
        <v>985</v>
      </c>
      <c r="C140" s="374">
        <v>43</v>
      </c>
      <c r="D140" s="374"/>
      <c r="E140" s="374" t="s">
        <v>1129</v>
      </c>
      <c r="F140" s="374">
        <v>8.23</v>
      </c>
      <c r="G140" s="374">
        <v>224</v>
      </c>
      <c r="H140" s="374">
        <v>27.22</v>
      </c>
      <c r="I140" s="377" t="s">
        <v>1160</v>
      </c>
      <c r="J140" s="378">
        <v>8000</v>
      </c>
      <c r="K140" s="377"/>
      <c r="L140" s="377"/>
      <c r="M140" s="377"/>
      <c r="N140" s="374" t="s">
        <v>1095</v>
      </c>
    </row>
    <row r="141" spans="2:14" ht="15" customHeight="1" x14ac:dyDescent="0.25">
      <c r="B141" s="374" t="s">
        <v>985</v>
      </c>
      <c r="C141" s="374">
        <v>46</v>
      </c>
      <c r="D141" s="374"/>
      <c r="E141" s="374" t="s">
        <v>1130</v>
      </c>
      <c r="F141" s="374">
        <v>29.15</v>
      </c>
      <c r="G141" s="374">
        <v>458</v>
      </c>
      <c r="H141" s="374">
        <v>15.71</v>
      </c>
      <c r="I141" s="377" t="s">
        <v>1160</v>
      </c>
      <c r="J141" s="378">
        <v>8000</v>
      </c>
      <c r="K141" s="377"/>
      <c r="L141" s="377"/>
      <c r="M141" s="377"/>
      <c r="N141" s="374" t="s">
        <v>1095</v>
      </c>
    </row>
    <row r="142" spans="2:14" ht="15" customHeight="1" x14ac:dyDescent="0.25">
      <c r="B142" s="374" t="s">
        <v>985</v>
      </c>
      <c r="C142" s="374">
        <v>47</v>
      </c>
      <c r="D142" s="374"/>
      <c r="E142" s="374" t="s">
        <v>1131</v>
      </c>
      <c r="F142" s="374">
        <v>21.3</v>
      </c>
      <c r="G142" s="374">
        <v>940</v>
      </c>
      <c r="H142" s="374">
        <v>44.13</v>
      </c>
      <c r="I142" s="377" t="s">
        <v>1160</v>
      </c>
      <c r="J142" s="378">
        <v>8000</v>
      </c>
      <c r="K142" s="377"/>
      <c r="L142" s="377"/>
      <c r="M142" s="377"/>
      <c r="N142" s="374" t="s">
        <v>1095</v>
      </c>
    </row>
    <row r="143" spans="2:14" ht="15" customHeight="1" x14ac:dyDescent="0.25">
      <c r="B143" s="374" t="s">
        <v>997</v>
      </c>
      <c r="C143" s="374">
        <v>40</v>
      </c>
      <c r="D143" s="374"/>
      <c r="E143" s="374" t="s">
        <v>1132</v>
      </c>
      <c r="F143" s="374">
        <v>21.04</v>
      </c>
      <c r="G143" s="374">
        <v>913</v>
      </c>
      <c r="H143" s="374">
        <v>43.39</v>
      </c>
      <c r="I143" s="377" t="s">
        <v>1160</v>
      </c>
      <c r="J143" s="378">
        <v>8000</v>
      </c>
      <c r="K143" s="377"/>
      <c r="L143" s="377"/>
      <c r="M143" s="377"/>
      <c r="N143" s="374" t="s">
        <v>1095</v>
      </c>
    </row>
    <row r="144" spans="2:14" ht="15" customHeight="1" x14ac:dyDescent="0.25">
      <c r="B144" s="374" t="s">
        <v>985</v>
      </c>
      <c r="C144" s="374">
        <v>48</v>
      </c>
      <c r="D144" s="374"/>
      <c r="E144" s="374" t="s">
        <v>1133</v>
      </c>
      <c r="F144" s="374">
        <v>29.59</v>
      </c>
      <c r="G144" s="374">
        <v>843</v>
      </c>
      <c r="H144" s="374">
        <v>28.49</v>
      </c>
      <c r="I144" s="377" t="s">
        <v>1160</v>
      </c>
      <c r="J144" s="378">
        <v>8000</v>
      </c>
      <c r="K144" s="377"/>
      <c r="L144" s="377"/>
      <c r="M144" s="377"/>
      <c r="N144" s="374" t="s">
        <v>1095</v>
      </c>
    </row>
    <row r="145" spans="2:14" ht="15" customHeight="1" x14ac:dyDescent="0.25">
      <c r="B145" s="374" t="s">
        <v>997</v>
      </c>
      <c r="C145" s="374">
        <v>42</v>
      </c>
      <c r="D145" s="374"/>
      <c r="E145" s="374" t="s">
        <v>1134</v>
      </c>
      <c r="F145" s="374">
        <v>40.61</v>
      </c>
      <c r="G145" s="375">
        <v>1411</v>
      </c>
      <c r="H145" s="374">
        <v>34.75</v>
      </c>
      <c r="I145" s="377" t="s">
        <v>1160</v>
      </c>
      <c r="J145" s="378">
        <v>8000</v>
      </c>
      <c r="K145" s="377"/>
      <c r="L145" s="377"/>
      <c r="M145" s="377"/>
      <c r="N145" s="374" t="s">
        <v>1095</v>
      </c>
    </row>
    <row r="146" spans="2:14" ht="15" customHeight="1" x14ac:dyDescent="0.25">
      <c r="B146" s="374" t="s">
        <v>997</v>
      </c>
      <c r="C146" s="374">
        <v>43</v>
      </c>
      <c r="D146" s="374"/>
      <c r="E146" s="374" t="s">
        <v>1135</v>
      </c>
      <c r="F146" s="374">
        <v>53.7</v>
      </c>
      <c r="G146" s="374">
        <v>870</v>
      </c>
      <c r="H146" s="374">
        <v>16.2</v>
      </c>
      <c r="I146" s="377" t="s">
        <v>1160</v>
      </c>
      <c r="J146" s="378">
        <v>8000</v>
      </c>
      <c r="K146" s="377"/>
      <c r="L146" s="377"/>
      <c r="M146" s="377"/>
      <c r="N146" s="374" t="s">
        <v>1095</v>
      </c>
    </row>
    <row r="147" spans="2:14" ht="15" customHeight="1" x14ac:dyDescent="0.25">
      <c r="B147" s="374" t="s">
        <v>988</v>
      </c>
      <c r="C147" s="374">
        <v>21</v>
      </c>
      <c r="D147" s="374"/>
      <c r="E147" s="374" t="s">
        <v>1136</v>
      </c>
      <c r="F147" s="374">
        <v>16.21</v>
      </c>
      <c r="G147" s="374">
        <v>600</v>
      </c>
      <c r="H147" s="374">
        <v>37.01</v>
      </c>
      <c r="I147" s="377" t="s">
        <v>1160</v>
      </c>
      <c r="J147" s="378">
        <v>8000</v>
      </c>
      <c r="K147" s="377"/>
      <c r="L147" s="377"/>
      <c r="M147" s="377"/>
      <c r="N147" s="374" t="s">
        <v>1095</v>
      </c>
    </row>
    <row r="148" spans="2:14" ht="15" customHeight="1" x14ac:dyDescent="0.25">
      <c r="B148" s="374" t="s">
        <v>997</v>
      </c>
      <c r="C148" s="374">
        <v>47</v>
      </c>
      <c r="D148" s="374"/>
      <c r="E148" s="374" t="s">
        <v>1137</v>
      </c>
      <c r="F148" s="374">
        <v>15.38</v>
      </c>
      <c r="G148" s="374">
        <v>485</v>
      </c>
      <c r="H148" s="374">
        <v>31.53</v>
      </c>
      <c r="I148" s="377" t="s">
        <v>1160</v>
      </c>
      <c r="J148" s="378">
        <v>8000</v>
      </c>
      <c r="K148" s="377"/>
      <c r="L148" s="377"/>
      <c r="M148" s="377"/>
      <c r="N148" s="374" t="s">
        <v>1095</v>
      </c>
    </row>
    <row r="149" spans="2:14" ht="15" customHeight="1" x14ac:dyDescent="0.25">
      <c r="B149" s="374" t="s">
        <v>997</v>
      </c>
      <c r="C149" s="374">
        <v>48</v>
      </c>
      <c r="D149" s="374"/>
      <c r="E149" s="374" t="s">
        <v>1138</v>
      </c>
      <c r="F149" s="374">
        <v>11.73</v>
      </c>
      <c r="G149" s="374">
        <v>550</v>
      </c>
      <c r="H149" s="374">
        <v>46.89</v>
      </c>
      <c r="I149" s="377" t="s">
        <v>1160</v>
      </c>
      <c r="J149" s="378">
        <v>8000</v>
      </c>
      <c r="K149" s="377"/>
      <c r="L149" s="377"/>
      <c r="M149" s="377"/>
      <c r="N149" s="374" t="s">
        <v>1095</v>
      </c>
    </row>
    <row r="150" spans="2:14" ht="15" customHeight="1" x14ac:dyDescent="0.25">
      <c r="B150" s="374" t="s">
        <v>997</v>
      </c>
      <c r="C150" s="374">
        <v>49</v>
      </c>
      <c r="D150" s="374"/>
      <c r="E150" s="374" t="s">
        <v>1139</v>
      </c>
      <c r="F150" s="374">
        <v>37.42</v>
      </c>
      <c r="G150" s="374">
        <v>366</v>
      </c>
      <c r="H150" s="374">
        <v>9.7799999999999994</v>
      </c>
      <c r="I150" s="377" t="s">
        <v>1160</v>
      </c>
      <c r="J150" s="378">
        <v>8000</v>
      </c>
      <c r="K150" s="377"/>
      <c r="L150" s="377"/>
      <c r="M150" s="377"/>
      <c r="N150" s="374" t="s">
        <v>1095</v>
      </c>
    </row>
    <row r="151" spans="2:14" ht="15" customHeight="1" x14ac:dyDescent="0.25">
      <c r="B151" s="374" t="s">
        <v>982</v>
      </c>
      <c r="C151" s="374">
        <v>48</v>
      </c>
      <c r="D151" s="374"/>
      <c r="E151" s="374" t="s">
        <v>1140</v>
      </c>
      <c r="F151" s="374">
        <v>105.2</v>
      </c>
      <c r="G151" s="375">
        <v>1048</v>
      </c>
      <c r="H151" s="374">
        <v>9.9600000000000009</v>
      </c>
      <c r="I151" s="377" t="s">
        <v>1160</v>
      </c>
      <c r="J151" s="378">
        <v>8000</v>
      </c>
      <c r="K151" s="377"/>
      <c r="L151" s="377"/>
      <c r="M151" s="377"/>
      <c r="N151" s="374" t="s">
        <v>1095</v>
      </c>
    </row>
    <row r="152" spans="2:14" ht="15" customHeight="1" x14ac:dyDescent="0.25">
      <c r="B152" s="374" t="s">
        <v>985</v>
      </c>
      <c r="C152" s="374">
        <v>53</v>
      </c>
      <c r="D152" s="374"/>
      <c r="E152" s="374" t="s">
        <v>1141</v>
      </c>
      <c r="F152" s="374">
        <v>19.84</v>
      </c>
      <c r="G152" s="374">
        <v>542</v>
      </c>
      <c r="H152" s="374">
        <v>27.32</v>
      </c>
      <c r="I152" s="377" t="s">
        <v>1160</v>
      </c>
      <c r="J152" s="378">
        <v>8000</v>
      </c>
      <c r="K152" s="377"/>
      <c r="L152" s="377"/>
      <c r="M152" s="377"/>
      <c r="N152" s="374" t="s">
        <v>1095</v>
      </c>
    </row>
    <row r="153" spans="2:14" ht="15" customHeight="1" x14ac:dyDescent="0.25">
      <c r="B153" s="374" t="s">
        <v>985</v>
      </c>
      <c r="C153" s="374">
        <v>54</v>
      </c>
      <c r="D153" s="374"/>
      <c r="E153" s="374" t="s">
        <v>1142</v>
      </c>
      <c r="F153" s="374">
        <v>17.46</v>
      </c>
      <c r="G153" s="374">
        <v>731</v>
      </c>
      <c r="H153" s="374">
        <v>41.87</v>
      </c>
      <c r="I153" s="377" t="s">
        <v>1160</v>
      </c>
      <c r="J153" s="378">
        <v>8000</v>
      </c>
      <c r="K153" s="377"/>
      <c r="L153" s="377"/>
      <c r="M153" s="377"/>
      <c r="N153" s="374" t="s">
        <v>1095</v>
      </c>
    </row>
    <row r="154" spans="2:14" ht="15" customHeight="1" x14ac:dyDescent="0.25">
      <c r="B154" s="374" t="s">
        <v>997</v>
      </c>
      <c r="C154" s="374">
        <v>51</v>
      </c>
      <c r="D154" s="374"/>
      <c r="E154" s="374" t="s">
        <v>1143</v>
      </c>
      <c r="F154" s="374">
        <v>15.04</v>
      </c>
      <c r="G154" s="374">
        <v>270</v>
      </c>
      <c r="H154" s="374">
        <v>17.95</v>
      </c>
      <c r="I154" s="377" t="s">
        <v>1160</v>
      </c>
      <c r="J154" s="378">
        <v>8000</v>
      </c>
      <c r="K154" s="377"/>
      <c r="L154" s="377"/>
      <c r="M154" s="377"/>
      <c r="N154" s="374" t="s">
        <v>1095</v>
      </c>
    </row>
    <row r="155" spans="2:14" ht="15" customHeight="1" x14ac:dyDescent="0.25">
      <c r="B155" s="374" t="s">
        <v>982</v>
      </c>
      <c r="C155" s="374">
        <v>50</v>
      </c>
      <c r="D155" s="374"/>
      <c r="E155" s="374" t="s">
        <v>1144</v>
      </c>
      <c r="F155" s="374">
        <v>12.63</v>
      </c>
      <c r="G155" s="374">
        <v>67</v>
      </c>
      <c r="H155" s="374">
        <v>5.3</v>
      </c>
      <c r="I155" s="377" t="s">
        <v>1160</v>
      </c>
      <c r="J155" s="378">
        <v>8000</v>
      </c>
      <c r="K155" s="377"/>
      <c r="L155" s="377"/>
      <c r="M155" s="377"/>
      <c r="N155" s="374" t="s">
        <v>1095</v>
      </c>
    </row>
    <row r="156" spans="2:14" ht="15" customHeight="1" x14ac:dyDescent="0.25">
      <c r="B156" s="374" t="s">
        <v>982</v>
      </c>
      <c r="C156" s="374">
        <v>53</v>
      </c>
      <c r="D156" s="374"/>
      <c r="E156" s="374" t="s">
        <v>1145</v>
      </c>
      <c r="F156" s="374">
        <v>41.23</v>
      </c>
      <c r="G156" s="375">
        <v>2693</v>
      </c>
      <c r="H156" s="374">
        <v>65.319999999999993</v>
      </c>
      <c r="I156" s="377" t="s">
        <v>1160</v>
      </c>
      <c r="J156" s="378">
        <v>8000</v>
      </c>
      <c r="K156" s="377"/>
      <c r="L156" s="377"/>
      <c r="M156" s="377"/>
      <c r="N156" s="374" t="s">
        <v>1095</v>
      </c>
    </row>
    <row r="157" spans="2:14" ht="15" customHeight="1" x14ac:dyDescent="0.25">
      <c r="B157" s="374" t="s">
        <v>982</v>
      </c>
      <c r="C157" s="374">
        <v>56</v>
      </c>
      <c r="D157" s="374"/>
      <c r="E157" s="374" t="s">
        <v>1146</v>
      </c>
      <c r="F157" s="374">
        <v>55.26</v>
      </c>
      <c r="G157" s="375">
        <v>1189</v>
      </c>
      <c r="H157" s="374">
        <v>21.52</v>
      </c>
      <c r="I157" s="377" t="s">
        <v>1160</v>
      </c>
      <c r="J157" s="378">
        <v>8000</v>
      </c>
      <c r="K157" s="377"/>
      <c r="L157" s="377"/>
      <c r="M157" s="377"/>
      <c r="N157" s="374" t="s">
        <v>1095</v>
      </c>
    </row>
    <row r="158" spans="2:14" ht="15" customHeight="1" x14ac:dyDescent="0.25">
      <c r="B158" s="374" t="s">
        <v>997</v>
      </c>
      <c r="C158" s="374">
        <v>57</v>
      </c>
      <c r="D158" s="374"/>
      <c r="E158" s="374" t="s">
        <v>1147</v>
      </c>
      <c r="F158" s="374">
        <v>4.91</v>
      </c>
      <c r="G158" s="374">
        <v>327</v>
      </c>
      <c r="H158" s="374">
        <v>66.599999999999994</v>
      </c>
      <c r="I158" s="377" t="s">
        <v>1160</v>
      </c>
      <c r="J158" s="378">
        <v>8000</v>
      </c>
      <c r="K158" s="377"/>
      <c r="L158" s="377"/>
      <c r="M158" s="377"/>
      <c r="N158" s="374" t="s">
        <v>1095</v>
      </c>
    </row>
    <row r="159" spans="2:14" ht="15" customHeight="1" x14ac:dyDescent="0.25">
      <c r="B159" s="374" t="s">
        <v>988</v>
      </c>
      <c r="C159" s="374">
        <v>28</v>
      </c>
      <c r="D159" s="374"/>
      <c r="E159" s="374" t="s">
        <v>1148</v>
      </c>
      <c r="F159" s="374">
        <v>69.39</v>
      </c>
      <c r="G159" s="375">
        <v>1441</v>
      </c>
      <c r="H159" s="374">
        <v>20.77</v>
      </c>
      <c r="I159" s="377" t="s">
        <v>1160</v>
      </c>
      <c r="J159" s="378">
        <v>8000</v>
      </c>
      <c r="K159" s="377"/>
      <c r="L159" s="377"/>
      <c r="M159" s="377"/>
      <c r="N159" s="374" t="s">
        <v>1095</v>
      </c>
    </row>
    <row r="160" spans="2:14" ht="15" customHeight="1" x14ac:dyDescent="0.25">
      <c r="B160" s="374" t="s">
        <v>985</v>
      </c>
      <c r="C160" s="374">
        <v>60</v>
      </c>
      <c r="D160" s="374"/>
      <c r="E160" s="374" t="s">
        <v>1149</v>
      </c>
      <c r="F160" s="374">
        <v>10.15</v>
      </c>
      <c r="G160" s="374">
        <v>208</v>
      </c>
      <c r="H160" s="374">
        <v>20.49</v>
      </c>
      <c r="I160" s="377" t="s">
        <v>1160</v>
      </c>
      <c r="J160" s="378">
        <v>8000</v>
      </c>
      <c r="K160" s="377"/>
      <c r="L160" s="377"/>
      <c r="M160" s="377"/>
      <c r="N160" s="374" t="s">
        <v>1095</v>
      </c>
    </row>
    <row r="161" spans="2:14" ht="15" customHeight="1" x14ac:dyDescent="0.25">
      <c r="B161" s="374" t="s">
        <v>997</v>
      </c>
      <c r="C161" s="374">
        <v>61</v>
      </c>
      <c r="D161" s="374"/>
      <c r="E161" s="374" t="s">
        <v>1150</v>
      </c>
      <c r="F161" s="374">
        <v>67.760000000000005</v>
      </c>
      <c r="G161" s="374">
        <v>387</v>
      </c>
      <c r="H161" s="374">
        <v>5.71</v>
      </c>
      <c r="I161" s="377" t="s">
        <v>1160</v>
      </c>
      <c r="J161" s="378">
        <v>8000</v>
      </c>
      <c r="K161" s="377"/>
      <c r="L161" s="377"/>
      <c r="M161" s="377"/>
      <c r="N161" s="374" t="s">
        <v>1095</v>
      </c>
    </row>
    <row r="162" spans="2:14" ht="15" customHeight="1" x14ac:dyDescent="0.25">
      <c r="B162" s="374" t="s">
        <v>985</v>
      </c>
      <c r="C162" s="374">
        <v>63</v>
      </c>
      <c r="D162" s="374"/>
      <c r="E162" s="374" t="s">
        <v>1151</v>
      </c>
      <c r="F162" s="374">
        <v>31.48</v>
      </c>
      <c r="G162" s="374">
        <v>744</v>
      </c>
      <c r="H162" s="374">
        <v>23.63</v>
      </c>
      <c r="I162" s="377" t="s">
        <v>1160</v>
      </c>
      <c r="J162" s="378">
        <v>8000</v>
      </c>
      <c r="K162" s="377"/>
      <c r="L162" s="377"/>
      <c r="M162" s="377"/>
      <c r="N162" s="374" t="s">
        <v>1095</v>
      </c>
    </row>
    <row r="163" spans="2:14" ht="15" customHeight="1" x14ac:dyDescent="0.25">
      <c r="B163" s="374" t="s">
        <v>988</v>
      </c>
      <c r="C163" s="374">
        <v>29</v>
      </c>
      <c r="D163" s="374"/>
      <c r="E163" s="374" t="s">
        <v>1152</v>
      </c>
      <c r="F163" s="374">
        <v>136.56</v>
      </c>
      <c r="G163" s="375">
        <v>2091</v>
      </c>
      <c r="H163" s="374">
        <v>15.31</v>
      </c>
      <c r="I163" s="377" t="s">
        <v>1160</v>
      </c>
      <c r="J163" s="378">
        <v>8000</v>
      </c>
      <c r="K163" s="377"/>
      <c r="L163" s="377"/>
      <c r="M163" s="377"/>
      <c r="N163" s="374" t="s">
        <v>1095</v>
      </c>
    </row>
    <row r="164" spans="2:14" ht="15" customHeight="1" x14ac:dyDescent="0.25">
      <c r="B164" s="374" t="s">
        <v>985</v>
      </c>
      <c r="C164" s="374">
        <v>66</v>
      </c>
      <c r="D164" s="374"/>
      <c r="E164" s="374" t="s">
        <v>1153</v>
      </c>
      <c r="F164" s="374">
        <v>10.11</v>
      </c>
      <c r="G164" s="374">
        <v>401</v>
      </c>
      <c r="H164" s="374">
        <v>39.659999999999997</v>
      </c>
      <c r="I164" s="377" t="s">
        <v>1160</v>
      </c>
      <c r="J164" s="378">
        <v>8000</v>
      </c>
      <c r="K164" s="377"/>
      <c r="L164" s="377"/>
      <c r="M164" s="377"/>
      <c r="N164" s="374" t="s">
        <v>1095</v>
      </c>
    </row>
    <row r="165" spans="2:14" ht="15" customHeight="1" x14ac:dyDescent="0.25">
      <c r="B165" s="374" t="s">
        <v>988</v>
      </c>
      <c r="C165" s="374">
        <v>30</v>
      </c>
      <c r="D165" s="374"/>
      <c r="E165" s="374" t="s">
        <v>1154</v>
      </c>
      <c r="F165" s="374">
        <v>12.28</v>
      </c>
      <c r="G165" s="374">
        <v>899</v>
      </c>
      <c r="H165" s="374">
        <v>73.209999999999994</v>
      </c>
      <c r="I165" s="377" t="s">
        <v>1160</v>
      </c>
      <c r="J165" s="378">
        <v>8000</v>
      </c>
      <c r="K165" s="377"/>
      <c r="L165" s="377"/>
      <c r="M165" s="377"/>
      <c r="N165" s="374" t="s">
        <v>1095</v>
      </c>
    </row>
    <row r="166" spans="2:14" ht="15" customHeight="1" x14ac:dyDescent="0.25">
      <c r="B166" s="374" t="s">
        <v>997</v>
      </c>
      <c r="C166" s="374">
        <v>66</v>
      </c>
      <c r="D166" s="374"/>
      <c r="E166" s="374" t="s">
        <v>1155</v>
      </c>
      <c r="F166" s="374">
        <v>10.35</v>
      </c>
      <c r="G166" s="374">
        <v>302</v>
      </c>
      <c r="H166" s="374">
        <v>29.18</v>
      </c>
      <c r="I166" s="377" t="s">
        <v>1160</v>
      </c>
      <c r="J166" s="378">
        <v>8000</v>
      </c>
      <c r="K166" s="377"/>
      <c r="L166" s="377"/>
      <c r="M166" s="377"/>
      <c r="N166" s="374" t="s">
        <v>1095</v>
      </c>
    </row>
    <row r="167" spans="2:14" ht="15" customHeight="1" x14ac:dyDescent="0.25">
      <c r="B167" s="374" t="s">
        <v>982</v>
      </c>
      <c r="C167" s="374">
        <v>66</v>
      </c>
      <c r="D167" s="374"/>
      <c r="E167" s="374" t="s">
        <v>1156</v>
      </c>
      <c r="F167" s="374">
        <v>33.200000000000003</v>
      </c>
      <c r="G167" s="374">
        <v>453</v>
      </c>
      <c r="H167" s="374">
        <v>13.64</v>
      </c>
      <c r="I167" s="377" t="s">
        <v>1160</v>
      </c>
      <c r="J167" s="378">
        <v>8000</v>
      </c>
      <c r="K167" s="377"/>
      <c r="L167" s="377"/>
      <c r="M167" s="377"/>
      <c r="N167" s="374" t="s">
        <v>1095</v>
      </c>
    </row>
    <row r="168" spans="2:14" ht="15" customHeight="1" x14ac:dyDescent="0.25">
      <c r="B168" s="374" t="s">
        <v>988</v>
      </c>
      <c r="C168" s="374">
        <v>32</v>
      </c>
      <c r="D168" s="374"/>
      <c r="E168" s="374" t="s">
        <v>1157</v>
      </c>
      <c r="F168" s="374">
        <v>27.86</v>
      </c>
      <c r="G168" s="374">
        <v>542</v>
      </c>
      <c r="H168" s="374">
        <v>19.45</v>
      </c>
      <c r="I168" s="377" t="s">
        <v>1160</v>
      </c>
      <c r="J168" s="378">
        <v>8000</v>
      </c>
      <c r="K168" s="377"/>
      <c r="L168" s="377"/>
      <c r="M168" s="377"/>
      <c r="N168" s="374" t="s">
        <v>1095</v>
      </c>
    </row>
  </sheetData>
  <sheetProtection algorithmName="SHA-512" hashValue="sYVKRVeubIZ0DPo8I9sRWLxvP5zfyRpjN0Ffny/f3faWPv6LjdaiYIMJD4fRD5r/1qk865v1UW0OB+Tros5FTQ==" saltValue="Hw3k3udC9ZzdElE9iHJQ/A==" spinCount="100000" sheet="1" objects="1" scenarios="1"/>
  <sortState ref="B106:N168">
    <sortCondition ref="E106:E168"/>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235"/>
  <sheetViews>
    <sheetView topLeftCell="A209" workbookViewId="0">
      <selection activeCell="B1" sqref="B1"/>
    </sheetView>
  </sheetViews>
  <sheetFormatPr defaultRowHeight="13.2" x14ac:dyDescent="0.25"/>
  <cols>
    <col min="2" max="2" width="28.6640625" customWidth="1"/>
    <col min="3" max="3" width="16.6640625" customWidth="1"/>
    <col min="4" max="4" width="10.44140625" customWidth="1"/>
  </cols>
  <sheetData>
    <row r="1" spans="2:5" ht="13.8" thickBot="1" x14ac:dyDescent="0.3">
      <c r="B1" s="97" t="s">
        <v>851</v>
      </c>
      <c r="C1" t="s">
        <v>476</v>
      </c>
      <c r="D1" t="s">
        <v>477</v>
      </c>
      <c r="E1" t="s">
        <v>478</v>
      </c>
    </row>
    <row r="2" spans="2:5" ht="13.8" thickBot="1" x14ac:dyDescent="0.3">
      <c r="B2" t="s">
        <v>479</v>
      </c>
      <c r="C2" t="s">
        <v>480</v>
      </c>
      <c r="D2" s="283" t="s">
        <v>481</v>
      </c>
      <c r="E2" s="283">
        <v>24.57</v>
      </c>
    </row>
    <row r="3" spans="2:5" ht="13.8" thickBot="1" x14ac:dyDescent="0.3">
      <c r="B3" t="s">
        <v>482</v>
      </c>
      <c r="C3" t="s">
        <v>480</v>
      </c>
      <c r="D3" s="283">
        <v>2539</v>
      </c>
      <c r="E3" s="283">
        <v>11</v>
      </c>
    </row>
    <row r="4" spans="2:5" ht="13.8" thickBot="1" x14ac:dyDescent="0.3">
      <c r="B4" t="s">
        <v>483</v>
      </c>
      <c r="C4" t="s">
        <v>480</v>
      </c>
      <c r="D4" s="283">
        <v>2810</v>
      </c>
      <c r="E4" s="283">
        <v>16.3</v>
      </c>
    </row>
    <row r="5" spans="2:5" ht="13.8" thickBot="1" x14ac:dyDescent="0.3">
      <c r="B5" t="s">
        <v>484</v>
      </c>
      <c r="C5" t="s">
        <v>480</v>
      </c>
      <c r="D5" s="283">
        <v>4486</v>
      </c>
      <c r="E5" s="283">
        <v>4.4000000000000004</v>
      </c>
    </row>
    <row r="6" spans="2:5" ht="13.8" thickBot="1" x14ac:dyDescent="0.3">
      <c r="B6" t="s">
        <v>485</v>
      </c>
      <c r="C6" t="s">
        <v>480</v>
      </c>
      <c r="D6" s="283" t="s">
        <v>486</v>
      </c>
      <c r="E6" s="283">
        <v>80.040000000000006</v>
      </c>
    </row>
    <row r="7" spans="2:5" ht="13.8" thickBot="1" x14ac:dyDescent="0.3">
      <c r="B7" t="s">
        <v>487</v>
      </c>
      <c r="C7" t="s">
        <v>480</v>
      </c>
      <c r="D7" s="283" t="s">
        <v>488</v>
      </c>
      <c r="E7" s="283">
        <v>17.12</v>
      </c>
    </row>
    <row r="8" spans="2:5" ht="13.8" thickBot="1" x14ac:dyDescent="0.3">
      <c r="B8" t="s">
        <v>489</v>
      </c>
      <c r="C8" t="s">
        <v>480</v>
      </c>
      <c r="D8" s="283" t="s">
        <v>490</v>
      </c>
      <c r="E8" s="283">
        <v>9.9</v>
      </c>
    </row>
    <row r="9" spans="2:5" ht="13.8" thickBot="1" x14ac:dyDescent="0.3">
      <c r="B9" t="s">
        <v>491</v>
      </c>
      <c r="C9" t="s">
        <v>480</v>
      </c>
      <c r="D9" s="283" t="s">
        <v>492</v>
      </c>
      <c r="E9" s="283">
        <v>23.8</v>
      </c>
    </row>
    <row r="10" spans="2:5" ht="13.8" thickBot="1" x14ac:dyDescent="0.3">
      <c r="B10" t="s">
        <v>493</v>
      </c>
      <c r="C10" t="s">
        <v>480</v>
      </c>
      <c r="D10" s="283" t="s">
        <v>494</v>
      </c>
      <c r="E10" s="283">
        <v>26.2</v>
      </c>
    </row>
    <row r="11" spans="2:5" ht="13.8" thickBot="1" x14ac:dyDescent="0.3">
      <c r="B11" t="s">
        <v>495</v>
      </c>
      <c r="C11" t="s">
        <v>480</v>
      </c>
      <c r="D11" s="283" t="s">
        <v>496</v>
      </c>
      <c r="E11" s="283">
        <v>8.6</v>
      </c>
    </row>
    <row r="12" spans="2:5" ht="13.8" thickBot="1" x14ac:dyDescent="0.3">
      <c r="B12" t="s">
        <v>497</v>
      </c>
      <c r="C12" t="s">
        <v>480</v>
      </c>
      <c r="D12" s="283" t="s">
        <v>498</v>
      </c>
      <c r="E12" s="283">
        <v>27.4</v>
      </c>
    </row>
    <row r="13" spans="2:5" ht="13.8" thickBot="1" x14ac:dyDescent="0.3">
      <c r="B13" t="s">
        <v>499</v>
      </c>
      <c r="C13" t="s">
        <v>480</v>
      </c>
      <c r="D13" s="283" t="s">
        <v>500</v>
      </c>
      <c r="E13" s="283">
        <v>7.8</v>
      </c>
    </row>
    <row r="14" spans="2:5" ht="13.8" thickBot="1" x14ac:dyDescent="0.3">
      <c r="B14" t="s">
        <v>501</v>
      </c>
      <c r="C14" t="s">
        <v>480</v>
      </c>
      <c r="D14" s="283" t="s">
        <v>502</v>
      </c>
      <c r="E14" s="283">
        <v>30.1</v>
      </c>
    </row>
    <row r="15" spans="2:5" ht="13.8" thickBot="1" x14ac:dyDescent="0.3">
      <c r="B15" t="s">
        <v>503</v>
      </c>
      <c r="C15" t="s">
        <v>480</v>
      </c>
      <c r="D15" s="283" t="s">
        <v>504</v>
      </c>
      <c r="E15" s="283">
        <v>30.9</v>
      </c>
    </row>
    <row r="16" spans="2:5" ht="13.8" thickBot="1" x14ac:dyDescent="0.3">
      <c r="B16" t="s">
        <v>505</v>
      </c>
      <c r="C16" t="s">
        <v>480</v>
      </c>
      <c r="D16" s="283" t="s">
        <v>506</v>
      </c>
      <c r="E16" s="283">
        <v>12.46</v>
      </c>
    </row>
    <row r="17" spans="2:5" ht="13.8" thickBot="1" x14ac:dyDescent="0.3">
      <c r="B17" t="s">
        <v>507</v>
      </c>
      <c r="C17" t="s">
        <v>480</v>
      </c>
      <c r="D17" s="283" t="s">
        <v>508</v>
      </c>
      <c r="E17" s="283">
        <v>11.5</v>
      </c>
    </row>
    <row r="18" spans="2:5" ht="13.8" thickBot="1" x14ac:dyDescent="0.3">
      <c r="B18" t="s">
        <v>509</v>
      </c>
      <c r="C18" t="s">
        <v>480</v>
      </c>
      <c r="D18" s="283" t="s">
        <v>510</v>
      </c>
      <c r="E18" s="283">
        <v>20.36</v>
      </c>
    </row>
    <row r="19" spans="2:5" ht="13.8" thickBot="1" x14ac:dyDescent="0.3">
      <c r="B19" t="s">
        <v>511</v>
      </c>
      <c r="C19" t="s">
        <v>480</v>
      </c>
      <c r="D19" s="283" t="s">
        <v>512</v>
      </c>
      <c r="E19" s="283">
        <v>9.1</v>
      </c>
    </row>
    <row r="20" spans="2:5" ht="13.8" thickBot="1" x14ac:dyDescent="0.3">
      <c r="B20" t="s">
        <v>513</v>
      </c>
      <c r="C20" t="s">
        <v>480</v>
      </c>
      <c r="D20" s="283">
        <v>274</v>
      </c>
      <c r="E20" s="283">
        <v>8</v>
      </c>
    </row>
    <row r="21" spans="2:5" ht="13.8" thickBot="1" x14ac:dyDescent="0.3">
      <c r="B21" t="s">
        <v>514</v>
      </c>
      <c r="C21" t="s">
        <v>480</v>
      </c>
      <c r="D21" s="283">
        <v>561</v>
      </c>
      <c r="E21" s="283">
        <v>11.6</v>
      </c>
    </row>
    <row r="22" spans="2:5" ht="13.8" thickBot="1" x14ac:dyDescent="0.3">
      <c r="B22" t="s">
        <v>515</v>
      </c>
      <c r="C22" t="s">
        <v>480</v>
      </c>
      <c r="D22" s="283" t="s">
        <v>516</v>
      </c>
      <c r="E22" s="283">
        <v>22.1</v>
      </c>
    </row>
    <row r="23" spans="2:5" ht="13.8" thickBot="1" x14ac:dyDescent="0.3">
      <c r="B23" t="s">
        <v>517</v>
      </c>
      <c r="C23" t="s">
        <v>480</v>
      </c>
      <c r="D23" s="283">
        <v>100</v>
      </c>
      <c r="E23" s="283">
        <v>11.49</v>
      </c>
    </row>
    <row r="24" spans="2:5" ht="13.8" thickBot="1" x14ac:dyDescent="0.3">
      <c r="B24" t="s">
        <v>518</v>
      </c>
      <c r="C24" t="s">
        <v>480</v>
      </c>
      <c r="D24" s="283">
        <v>504</v>
      </c>
      <c r="E24" s="283">
        <v>16.7</v>
      </c>
    </row>
    <row r="25" spans="2:5" ht="13.8" thickBot="1" x14ac:dyDescent="0.3">
      <c r="B25" t="s">
        <v>519</v>
      </c>
      <c r="C25" t="s">
        <v>480</v>
      </c>
      <c r="D25" s="283">
        <v>274</v>
      </c>
      <c r="E25" s="283">
        <v>16.600000000000001</v>
      </c>
    </row>
    <row r="26" spans="2:5" ht="13.8" thickBot="1" x14ac:dyDescent="0.3">
      <c r="B26" t="s">
        <v>480</v>
      </c>
      <c r="C26" t="s">
        <v>480</v>
      </c>
      <c r="D26" s="283" t="s">
        <v>520</v>
      </c>
      <c r="E26" s="283">
        <v>243.6</v>
      </c>
    </row>
    <row r="27" spans="2:5" ht="13.8" thickBot="1" x14ac:dyDescent="0.3">
      <c r="B27" t="s">
        <v>521</v>
      </c>
      <c r="C27" t="s">
        <v>480</v>
      </c>
      <c r="D27" s="283">
        <v>107</v>
      </c>
      <c r="E27" s="283">
        <v>18.5</v>
      </c>
    </row>
    <row r="28" spans="2:5" ht="13.8" thickBot="1" x14ac:dyDescent="0.3">
      <c r="B28" t="s">
        <v>522</v>
      </c>
      <c r="C28" t="s">
        <v>480</v>
      </c>
      <c r="D28" s="283" t="s">
        <v>523</v>
      </c>
      <c r="E28" s="283">
        <v>47.8</v>
      </c>
    </row>
    <row r="29" spans="2:5" ht="13.8" thickBot="1" x14ac:dyDescent="0.3">
      <c r="B29" t="s">
        <v>524</v>
      </c>
      <c r="C29" t="s">
        <v>480</v>
      </c>
      <c r="D29" s="283" t="s">
        <v>525</v>
      </c>
      <c r="E29" s="283">
        <v>13.87</v>
      </c>
    </row>
    <row r="30" spans="2:5" ht="13.8" thickBot="1" x14ac:dyDescent="0.3">
      <c r="B30" t="s">
        <v>526</v>
      </c>
      <c r="C30" t="s">
        <v>480</v>
      </c>
      <c r="D30" s="283" t="s">
        <v>527</v>
      </c>
      <c r="E30" s="283">
        <v>9.9</v>
      </c>
    </row>
    <row r="31" spans="2:5" ht="13.8" thickBot="1" x14ac:dyDescent="0.3">
      <c r="B31" t="s">
        <v>528</v>
      </c>
      <c r="C31" t="s">
        <v>480</v>
      </c>
      <c r="D31" s="283">
        <v>519</v>
      </c>
      <c r="E31" s="283">
        <v>17.8</v>
      </c>
    </row>
    <row r="32" spans="2:5" ht="13.8" thickBot="1" x14ac:dyDescent="0.3">
      <c r="B32" t="s">
        <v>529</v>
      </c>
      <c r="C32" t="s">
        <v>480</v>
      </c>
      <c r="D32" s="283" t="s">
        <v>530</v>
      </c>
      <c r="E32" s="283">
        <v>25.5</v>
      </c>
    </row>
    <row r="33" spans="2:5" ht="13.8" thickBot="1" x14ac:dyDescent="0.3">
      <c r="B33" t="s">
        <v>531</v>
      </c>
      <c r="C33" t="s">
        <v>480</v>
      </c>
      <c r="D33" s="283" t="s">
        <v>532</v>
      </c>
      <c r="E33" s="283">
        <v>29.82</v>
      </c>
    </row>
    <row r="34" spans="2:5" ht="13.8" thickBot="1" x14ac:dyDescent="0.3">
      <c r="B34" t="s">
        <v>533</v>
      </c>
      <c r="C34" t="s">
        <v>480</v>
      </c>
      <c r="D34" s="283" t="s">
        <v>534</v>
      </c>
      <c r="E34" s="283">
        <v>16.940000000000001</v>
      </c>
    </row>
    <row r="35" spans="2:5" ht="13.8" thickBot="1" x14ac:dyDescent="0.3">
      <c r="B35" t="s">
        <v>535</v>
      </c>
      <c r="C35" t="s">
        <v>480</v>
      </c>
      <c r="D35" s="283" t="s">
        <v>536</v>
      </c>
      <c r="E35" s="283">
        <v>28.8</v>
      </c>
    </row>
    <row r="36" spans="2:5" ht="13.8" thickBot="1" x14ac:dyDescent="0.3">
      <c r="B36" t="s">
        <v>537</v>
      </c>
      <c r="C36" t="s">
        <v>480</v>
      </c>
      <c r="D36" s="283" t="s">
        <v>538</v>
      </c>
      <c r="E36" s="283">
        <v>18.399999999999999</v>
      </c>
    </row>
    <row r="37" spans="2:5" ht="13.8" thickBot="1" x14ac:dyDescent="0.3">
      <c r="B37" t="s">
        <v>539</v>
      </c>
      <c r="C37" t="s">
        <v>480</v>
      </c>
      <c r="D37" s="283" t="s">
        <v>540</v>
      </c>
      <c r="E37" s="283">
        <v>16.2</v>
      </c>
    </row>
    <row r="38" spans="2:5" ht="13.8" thickBot="1" x14ac:dyDescent="0.3">
      <c r="B38" t="s">
        <v>541</v>
      </c>
      <c r="C38" t="s">
        <v>480</v>
      </c>
      <c r="D38" s="283" t="s">
        <v>542</v>
      </c>
      <c r="E38" s="283">
        <v>15.4</v>
      </c>
    </row>
    <row r="39" spans="2:5" ht="13.8" thickBot="1" x14ac:dyDescent="0.3">
      <c r="B39" t="s">
        <v>543</v>
      </c>
      <c r="C39" t="s">
        <v>480</v>
      </c>
      <c r="D39" s="283">
        <v>217</v>
      </c>
      <c r="E39" s="283">
        <v>17.5</v>
      </c>
    </row>
    <row r="40" spans="2:5" ht="13.8" thickBot="1" x14ac:dyDescent="0.3">
      <c r="B40" t="s">
        <v>544</v>
      </c>
      <c r="C40" t="s">
        <v>480</v>
      </c>
      <c r="D40" s="283" t="s">
        <v>545</v>
      </c>
      <c r="E40" s="283">
        <v>46.4</v>
      </c>
    </row>
    <row r="41" spans="2:5" ht="13.8" thickBot="1" x14ac:dyDescent="0.3">
      <c r="B41" t="s">
        <v>546</v>
      </c>
      <c r="C41" t="s">
        <v>480</v>
      </c>
      <c r="D41" s="283" t="s">
        <v>547</v>
      </c>
      <c r="E41" s="283">
        <v>64.099999999999994</v>
      </c>
    </row>
    <row r="42" spans="2:5" ht="13.8" thickBot="1" x14ac:dyDescent="0.3">
      <c r="B42" t="s">
        <v>548</v>
      </c>
      <c r="C42" t="s">
        <v>480</v>
      </c>
      <c r="D42" s="283">
        <v>984</v>
      </c>
      <c r="E42" s="283">
        <v>30.3</v>
      </c>
    </row>
    <row r="43" spans="2:5" ht="13.8" thickBot="1" x14ac:dyDescent="0.3">
      <c r="B43" t="s">
        <v>549</v>
      </c>
      <c r="C43" t="s">
        <v>480</v>
      </c>
      <c r="D43" s="283">
        <v>604</v>
      </c>
      <c r="E43" s="283">
        <v>15.8</v>
      </c>
    </row>
    <row r="44" spans="2:5" ht="13.8" thickBot="1" x14ac:dyDescent="0.3">
      <c r="B44" t="s">
        <v>550</v>
      </c>
      <c r="C44" t="s">
        <v>480</v>
      </c>
      <c r="D44" s="283" t="s">
        <v>551</v>
      </c>
      <c r="E44" s="283">
        <v>3.4</v>
      </c>
    </row>
    <row r="45" spans="2:5" ht="13.8" thickBot="1" x14ac:dyDescent="0.3">
      <c r="B45" t="s">
        <v>552</v>
      </c>
      <c r="C45" t="s">
        <v>480</v>
      </c>
      <c r="D45" s="283">
        <v>453</v>
      </c>
      <c r="E45" s="283">
        <v>2.6</v>
      </c>
    </row>
    <row r="46" spans="2:5" ht="13.8" thickBot="1" x14ac:dyDescent="0.3">
      <c r="B46" t="s">
        <v>553</v>
      </c>
      <c r="C46" t="s">
        <v>480</v>
      </c>
      <c r="D46" s="283">
        <v>161</v>
      </c>
      <c r="E46" s="283">
        <v>16.8</v>
      </c>
    </row>
    <row r="47" spans="2:5" ht="13.8" thickBot="1" x14ac:dyDescent="0.3">
      <c r="B47" t="s">
        <v>554</v>
      </c>
      <c r="C47" t="s">
        <v>480</v>
      </c>
      <c r="D47" s="283" t="s">
        <v>555</v>
      </c>
      <c r="E47" s="283">
        <v>33.630000000000003</v>
      </c>
    </row>
    <row r="48" spans="2:5" ht="13.8" thickBot="1" x14ac:dyDescent="0.3">
      <c r="B48" t="s">
        <v>556</v>
      </c>
      <c r="C48" t="s">
        <v>480</v>
      </c>
      <c r="D48" s="283" t="s">
        <v>557</v>
      </c>
      <c r="E48" s="283">
        <v>9.67</v>
      </c>
    </row>
    <row r="49" spans="2:5" ht="13.8" thickBot="1" x14ac:dyDescent="0.3">
      <c r="B49" t="s">
        <v>558</v>
      </c>
      <c r="C49" t="s">
        <v>480</v>
      </c>
      <c r="D49" s="283" t="s">
        <v>559</v>
      </c>
      <c r="E49" s="283">
        <v>105.3</v>
      </c>
    </row>
    <row r="50" spans="2:5" ht="13.8" thickBot="1" x14ac:dyDescent="0.3">
      <c r="B50" t="s">
        <v>560</v>
      </c>
      <c r="C50" t="s">
        <v>480</v>
      </c>
      <c r="D50" s="283" t="s">
        <v>561</v>
      </c>
      <c r="E50" s="283">
        <v>30.5</v>
      </c>
    </row>
    <row r="51" spans="2:5" ht="13.8" thickBot="1" x14ac:dyDescent="0.3">
      <c r="B51" t="s">
        <v>562</v>
      </c>
      <c r="C51" t="s">
        <v>480</v>
      </c>
      <c r="D51" s="283">
        <v>69</v>
      </c>
      <c r="E51" s="283">
        <v>12.7</v>
      </c>
    </row>
    <row r="52" spans="2:5" ht="13.8" thickBot="1" x14ac:dyDescent="0.3">
      <c r="B52" t="s">
        <v>563</v>
      </c>
      <c r="C52" t="s">
        <v>480</v>
      </c>
      <c r="D52" s="283" t="s">
        <v>564</v>
      </c>
      <c r="E52" s="283">
        <v>47.2</v>
      </c>
    </row>
    <row r="53" spans="2:5" ht="13.8" thickBot="1" x14ac:dyDescent="0.3">
      <c r="B53" t="s">
        <v>565</v>
      </c>
      <c r="C53" t="s">
        <v>480</v>
      </c>
      <c r="D53" s="283">
        <v>568</v>
      </c>
      <c r="E53" s="283">
        <v>42.5</v>
      </c>
    </row>
    <row r="54" spans="2:5" ht="13.8" thickBot="1" x14ac:dyDescent="0.3">
      <c r="B54" t="s">
        <v>566</v>
      </c>
      <c r="C54" t="s">
        <v>480</v>
      </c>
      <c r="D54" s="283" t="s">
        <v>534</v>
      </c>
      <c r="E54" s="283">
        <v>41.3</v>
      </c>
    </row>
    <row r="55" spans="2:5" ht="13.8" thickBot="1" x14ac:dyDescent="0.3">
      <c r="B55" t="s">
        <v>567</v>
      </c>
      <c r="C55" t="s">
        <v>480</v>
      </c>
      <c r="D55" s="283" t="s">
        <v>568</v>
      </c>
      <c r="E55" s="283">
        <v>21.9</v>
      </c>
    </row>
    <row r="56" spans="2:5" ht="13.8" thickBot="1" x14ac:dyDescent="0.3">
      <c r="B56" t="s">
        <v>569</v>
      </c>
      <c r="C56" t="s">
        <v>480</v>
      </c>
      <c r="D56" s="283" t="s">
        <v>570</v>
      </c>
      <c r="E56" s="283">
        <v>2.5499999999999998</v>
      </c>
    </row>
    <row r="57" spans="2:5" ht="13.8" thickBot="1" x14ac:dyDescent="0.3">
      <c r="B57" t="s">
        <v>571</v>
      </c>
      <c r="C57" t="s">
        <v>480</v>
      </c>
      <c r="D57" s="283" t="s">
        <v>572</v>
      </c>
      <c r="E57" s="283">
        <v>13</v>
      </c>
    </row>
    <row r="58" spans="2:5" ht="13.8" thickBot="1" x14ac:dyDescent="0.3">
      <c r="B58" t="s">
        <v>573</v>
      </c>
      <c r="C58" t="s">
        <v>480</v>
      </c>
      <c r="D58" s="283" t="s">
        <v>574</v>
      </c>
      <c r="E58" s="283">
        <v>21.7</v>
      </c>
    </row>
    <row r="59" spans="2:5" ht="13.8" thickBot="1" x14ac:dyDescent="0.3">
      <c r="B59" t="s">
        <v>575</v>
      </c>
      <c r="C59" t="s">
        <v>480</v>
      </c>
      <c r="D59" s="283" t="s">
        <v>576</v>
      </c>
      <c r="E59" s="283">
        <v>26.17</v>
      </c>
    </row>
    <row r="60" spans="2:5" ht="13.8" thickBot="1" x14ac:dyDescent="0.3">
      <c r="B60" t="s">
        <v>577</v>
      </c>
      <c r="C60" t="s">
        <v>480</v>
      </c>
      <c r="D60" s="283" t="s">
        <v>578</v>
      </c>
      <c r="E60" s="283">
        <v>33.49</v>
      </c>
    </row>
    <row r="61" spans="2:5" ht="13.8" thickBot="1" x14ac:dyDescent="0.3">
      <c r="B61" t="s">
        <v>579</v>
      </c>
      <c r="C61" t="s">
        <v>480</v>
      </c>
      <c r="D61" s="283" t="s">
        <v>580</v>
      </c>
      <c r="E61" s="283">
        <v>13.1</v>
      </c>
    </row>
    <row r="62" spans="2:5" ht="13.8" thickBot="1" x14ac:dyDescent="0.3">
      <c r="B62" t="s">
        <v>581</v>
      </c>
      <c r="C62" t="s">
        <v>480</v>
      </c>
      <c r="D62" s="283">
        <v>580</v>
      </c>
      <c r="E62" s="283">
        <v>24.5</v>
      </c>
    </row>
    <row r="63" spans="2:5" ht="13.8" thickBot="1" x14ac:dyDescent="0.3">
      <c r="B63" t="s">
        <v>582</v>
      </c>
      <c r="C63" t="s">
        <v>480</v>
      </c>
      <c r="D63" s="283" t="s">
        <v>583</v>
      </c>
      <c r="E63" s="283">
        <v>60.1</v>
      </c>
    </row>
    <row r="64" spans="2:5" ht="13.8" thickBot="1" x14ac:dyDescent="0.3">
      <c r="B64" t="s">
        <v>584</v>
      </c>
      <c r="C64" t="s">
        <v>480</v>
      </c>
      <c r="D64" s="283">
        <v>620</v>
      </c>
      <c r="E64" s="283">
        <v>7.1</v>
      </c>
    </row>
    <row r="65" spans="2:5" ht="13.8" thickBot="1" x14ac:dyDescent="0.3">
      <c r="B65" t="s">
        <v>585</v>
      </c>
      <c r="C65" t="s">
        <v>480</v>
      </c>
      <c r="D65" s="283" t="s">
        <v>586</v>
      </c>
      <c r="E65" s="283">
        <v>9.6</v>
      </c>
    </row>
    <row r="66" spans="2:5" ht="13.8" thickBot="1" x14ac:dyDescent="0.3">
      <c r="B66" t="s">
        <v>587</v>
      </c>
      <c r="C66" t="s">
        <v>480</v>
      </c>
      <c r="D66" s="283">
        <v>812</v>
      </c>
      <c r="E66" s="283">
        <v>35.200000000000003</v>
      </c>
    </row>
    <row r="67" spans="2:5" ht="13.8" thickBot="1" x14ac:dyDescent="0.3">
      <c r="B67" t="s">
        <v>588</v>
      </c>
      <c r="C67" t="s">
        <v>480</v>
      </c>
      <c r="D67" s="283">
        <v>463</v>
      </c>
      <c r="E67" s="283">
        <v>33.200000000000003</v>
      </c>
    </row>
    <row r="68" spans="2:5" ht="13.8" thickBot="1" x14ac:dyDescent="0.3">
      <c r="B68" t="s">
        <v>589</v>
      </c>
      <c r="C68" t="s">
        <v>480</v>
      </c>
      <c r="D68" s="283" t="s">
        <v>590</v>
      </c>
      <c r="E68" s="283">
        <v>7.6</v>
      </c>
    </row>
    <row r="69" spans="2:5" ht="13.8" thickBot="1" x14ac:dyDescent="0.3">
      <c r="B69" t="s">
        <v>591</v>
      </c>
      <c r="C69" t="s">
        <v>592</v>
      </c>
      <c r="D69" s="283">
        <v>461</v>
      </c>
      <c r="E69" s="283">
        <v>14.74</v>
      </c>
    </row>
    <row r="70" spans="2:5" ht="13.8" thickBot="1" x14ac:dyDescent="0.3">
      <c r="B70" t="s">
        <v>593</v>
      </c>
      <c r="C70" t="s">
        <v>592</v>
      </c>
      <c r="D70" s="283">
        <v>625</v>
      </c>
      <c r="E70" s="283">
        <v>19.68</v>
      </c>
    </row>
    <row r="71" spans="2:5" ht="13.8" thickBot="1" x14ac:dyDescent="0.3">
      <c r="B71" t="s">
        <v>594</v>
      </c>
      <c r="C71" t="s">
        <v>592</v>
      </c>
      <c r="D71" s="283">
        <v>176</v>
      </c>
      <c r="E71" s="283">
        <v>10.08</v>
      </c>
    </row>
    <row r="72" spans="2:5" ht="13.8" thickBot="1" x14ac:dyDescent="0.3">
      <c r="B72" t="s">
        <v>595</v>
      </c>
      <c r="C72" t="s">
        <v>592</v>
      </c>
      <c r="D72" s="283">
        <v>124</v>
      </c>
      <c r="E72" s="283">
        <v>9.26</v>
      </c>
    </row>
    <row r="73" spans="2:5" ht="13.8" thickBot="1" x14ac:dyDescent="0.3">
      <c r="B73" t="s">
        <v>596</v>
      </c>
      <c r="C73" t="s">
        <v>592</v>
      </c>
      <c r="D73" s="283">
        <v>346</v>
      </c>
      <c r="E73" s="283">
        <v>9.4600000000000009</v>
      </c>
    </row>
    <row r="74" spans="2:5" ht="13.8" thickBot="1" x14ac:dyDescent="0.3">
      <c r="B74" t="s">
        <v>597</v>
      </c>
      <c r="C74" t="s">
        <v>592</v>
      </c>
      <c r="D74" s="283" t="s">
        <v>598</v>
      </c>
      <c r="E74" s="283">
        <v>15.84</v>
      </c>
    </row>
    <row r="75" spans="2:5" ht="13.8" thickBot="1" x14ac:dyDescent="0.3">
      <c r="B75" t="s">
        <v>599</v>
      </c>
      <c r="C75" t="s">
        <v>592</v>
      </c>
      <c r="D75" s="283">
        <v>312</v>
      </c>
      <c r="E75" s="283">
        <v>24.54</v>
      </c>
    </row>
    <row r="76" spans="2:5" ht="13.8" thickBot="1" x14ac:dyDescent="0.3">
      <c r="B76" t="s">
        <v>600</v>
      </c>
      <c r="C76" t="s">
        <v>592</v>
      </c>
      <c r="D76" s="283" t="s">
        <v>601</v>
      </c>
      <c r="E76" s="283">
        <v>10.41</v>
      </c>
    </row>
    <row r="77" spans="2:5" ht="13.8" thickBot="1" x14ac:dyDescent="0.3">
      <c r="B77" t="s">
        <v>602</v>
      </c>
      <c r="C77" t="s">
        <v>592</v>
      </c>
      <c r="D77" s="283">
        <v>463</v>
      </c>
      <c r="E77" s="283">
        <v>25.54</v>
      </c>
    </row>
    <row r="78" spans="2:5" ht="13.8" thickBot="1" x14ac:dyDescent="0.3">
      <c r="B78" t="s">
        <v>603</v>
      </c>
      <c r="C78" t="s">
        <v>592</v>
      </c>
      <c r="D78" s="283">
        <v>873</v>
      </c>
      <c r="E78" s="283">
        <v>23.24</v>
      </c>
    </row>
    <row r="79" spans="2:5" ht="13.8" thickBot="1" x14ac:dyDescent="0.3">
      <c r="B79" t="s">
        <v>604</v>
      </c>
      <c r="C79" t="s">
        <v>592</v>
      </c>
      <c r="D79" s="283" t="s">
        <v>605</v>
      </c>
      <c r="E79" s="283">
        <v>17.52</v>
      </c>
    </row>
    <row r="80" spans="2:5" ht="13.8" thickBot="1" x14ac:dyDescent="0.3">
      <c r="B80" t="s">
        <v>606</v>
      </c>
      <c r="C80" t="s">
        <v>592</v>
      </c>
      <c r="D80" s="283">
        <v>303</v>
      </c>
      <c r="E80" s="283">
        <v>4.9000000000000004</v>
      </c>
    </row>
    <row r="81" spans="2:5" ht="13.8" thickBot="1" x14ac:dyDescent="0.3">
      <c r="B81" t="s">
        <v>607</v>
      </c>
      <c r="C81" t="s">
        <v>592</v>
      </c>
      <c r="D81" s="283">
        <v>329</v>
      </c>
      <c r="E81" s="283">
        <v>25.71</v>
      </c>
    </row>
    <row r="82" spans="2:5" ht="13.8" thickBot="1" x14ac:dyDescent="0.3">
      <c r="B82" t="s">
        <v>608</v>
      </c>
      <c r="C82" t="s">
        <v>592</v>
      </c>
      <c r="D82" s="283" t="s">
        <v>609</v>
      </c>
      <c r="E82" s="283">
        <v>8.69</v>
      </c>
    </row>
    <row r="83" spans="2:5" ht="13.8" thickBot="1" x14ac:dyDescent="0.3">
      <c r="B83" t="s">
        <v>610</v>
      </c>
      <c r="C83" t="s">
        <v>592</v>
      </c>
      <c r="D83" s="283" t="s">
        <v>611</v>
      </c>
      <c r="E83" s="283">
        <v>32.119999999999997</v>
      </c>
    </row>
    <row r="84" spans="2:5" ht="13.8" thickBot="1" x14ac:dyDescent="0.3">
      <c r="B84" t="s">
        <v>612</v>
      </c>
      <c r="C84" t="s">
        <v>592</v>
      </c>
      <c r="D84" s="283" t="s">
        <v>613</v>
      </c>
      <c r="E84" s="283">
        <v>3.39</v>
      </c>
    </row>
    <row r="85" spans="2:5" ht="13.8" thickBot="1" x14ac:dyDescent="0.3">
      <c r="B85" t="s">
        <v>614</v>
      </c>
      <c r="C85" t="s">
        <v>592</v>
      </c>
      <c r="D85" s="283">
        <v>286</v>
      </c>
      <c r="E85" s="283">
        <v>8.92</v>
      </c>
    </row>
    <row r="86" spans="2:5" ht="13.8" thickBot="1" x14ac:dyDescent="0.3">
      <c r="B86" t="s">
        <v>615</v>
      </c>
      <c r="C86" t="s">
        <v>592</v>
      </c>
      <c r="D86" s="283">
        <v>603</v>
      </c>
      <c r="E86" s="283">
        <v>13.66</v>
      </c>
    </row>
    <row r="87" spans="2:5" ht="13.8" thickBot="1" x14ac:dyDescent="0.3">
      <c r="B87" t="s">
        <v>616</v>
      </c>
      <c r="C87" t="s">
        <v>592</v>
      </c>
      <c r="D87" s="283">
        <v>565</v>
      </c>
      <c r="E87" s="283">
        <v>3.3</v>
      </c>
    </row>
    <row r="88" spans="2:5" ht="13.8" thickBot="1" x14ac:dyDescent="0.3">
      <c r="B88" t="s">
        <v>617</v>
      </c>
      <c r="C88" t="s">
        <v>592</v>
      </c>
      <c r="D88" s="283" t="s">
        <v>618</v>
      </c>
      <c r="E88" s="283">
        <v>9.5299999999999994</v>
      </c>
    </row>
    <row r="89" spans="2:5" ht="13.8" thickBot="1" x14ac:dyDescent="0.3">
      <c r="B89" t="s">
        <v>619</v>
      </c>
      <c r="C89" t="s">
        <v>592</v>
      </c>
      <c r="D89" s="283">
        <v>640</v>
      </c>
      <c r="E89" s="283">
        <v>3.83</v>
      </c>
    </row>
    <row r="90" spans="2:5" ht="13.8" thickBot="1" x14ac:dyDescent="0.3">
      <c r="B90" t="s">
        <v>620</v>
      </c>
      <c r="C90" t="s">
        <v>592</v>
      </c>
      <c r="D90" s="283">
        <v>248</v>
      </c>
      <c r="E90" s="283">
        <v>40.53</v>
      </c>
    </row>
    <row r="91" spans="2:5" ht="13.8" thickBot="1" x14ac:dyDescent="0.3">
      <c r="B91" t="s">
        <v>621</v>
      </c>
      <c r="C91" t="s">
        <v>592</v>
      </c>
      <c r="D91" s="283">
        <v>803</v>
      </c>
      <c r="E91" s="283">
        <v>2.46</v>
      </c>
    </row>
    <row r="92" spans="2:5" ht="13.8" thickBot="1" x14ac:dyDescent="0.3">
      <c r="B92" t="s">
        <v>622</v>
      </c>
      <c r="C92" t="s">
        <v>592</v>
      </c>
      <c r="D92" s="283">
        <v>678</v>
      </c>
      <c r="E92" s="283">
        <v>8.32</v>
      </c>
    </row>
    <row r="93" spans="2:5" ht="13.8" thickBot="1" x14ac:dyDescent="0.3">
      <c r="B93" t="s">
        <v>623</v>
      </c>
      <c r="C93" t="s">
        <v>592</v>
      </c>
      <c r="D93" s="283" t="s">
        <v>624</v>
      </c>
      <c r="E93" s="283">
        <v>5.99</v>
      </c>
    </row>
    <row r="94" spans="2:5" ht="13.8" thickBot="1" x14ac:dyDescent="0.3">
      <c r="B94" t="s">
        <v>625</v>
      </c>
      <c r="C94" t="s">
        <v>592</v>
      </c>
      <c r="D94" s="283" t="s">
        <v>626</v>
      </c>
      <c r="E94" s="283">
        <v>6.57</v>
      </c>
    </row>
    <row r="95" spans="2:5" ht="13.8" thickBot="1" x14ac:dyDescent="0.3">
      <c r="B95" t="s">
        <v>627</v>
      </c>
      <c r="C95" t="s">
        <v>592</v>
      </c>
      <c r="D95" s="283" t="s">
        <v>628</v>
      </c>
      <c r="E95" s="283">
        <v>11.74</v>
      </c>
    </row>
    <row r="96" spans="2:5" ht="13.8" thickBot="1" x14ac:dyDescent="0.3">
      <c r="B96" t="s">
        <v>629</v>
      </c>
      <c r="C96" t="s">
        <v>592</v>
      </c>
      <c r="D96" s="283" t="s">
        <v>630</v>
      </c>
      <c r="E96" s="283">
        <v>20.23</v>
      </c>
    </row>
    <row r="97" spans="2:5" ht="13.8" thickBot="1" x14ac:dyDescent="0.3">
      <c r="B97" t="s">
        <v>631</v>
      </c>
      <c r="C97" t="s">
        <v>592</v>
      </c>
      <c r="D97" s="283" t="s">
        <v>632</v>
      </c>
      <c r="E97" s="283">
        <v>19.32</v>
      </c>
    </row>
    <row r="98" spans="2:5" ht="13.8" thickBot="1" x14ac:dyDescent="0.3">
      <c r="B98" t="s">
        <v>592</v>
      </c>
      <c r="C98" t="s">
        <v>592</v>
      </c>
      <c r="D98" s="283" t="s">
        <v>633</v>
      </c>
      <c r="E98" s="283">
        <v>45.95</v>
      </c>
    </row>
    <row r="99" spans="2:5" ht="13.8" thickBot="1" x14ac:dyDescent="0.3">
      <c r="B99" t="s">
        <v>634</v>
      </c>
      <c r="C99" t="s">
        <v>592</v>
      </c>
      <c r="D99" s="283">
        <v>678</v>
      </c>
      <c r="E99" s="283">
        <v>12.4</v>
      </c>
    </row>
    <row r="100" spans="2:5" ht="13.8" thickBot="1" x14ac:dyDescent="0.3">
      <c r="B100" t="s">
        <v>635</v>
      </c>
      <c r="C100" t="s">
        <v>592</v>
      </c>
      <c r="D100" s="283">
        <v>280</v>
      </c>
      <c r="E100" s="283">
        <v>8.1999999999999993</v>
      </c>
    </row>
    <row r="101" spans="2:5" ht="13.8" thickBot="1" x14ac:dyDescent="0.3">
      <c r="B101" t="s">
        <v>636</v>
      </c>
      <c r="C101" t="s">
        <v>592</v>
      </c>
      <c r="D101" s="283">
        <v>205</v>
      </c>
      <c r="E101" s="283">
        <v>30.72</v>
      </c>
    </row>
    <row r="102" spans="2:5" ht="13.8" thickBot="1" x14ac:dyDescent="0.3">
      <c r="B102" t="s">
        <v>637</v>
      </c>
      <c r="C102" t="s">
        <v>592</v>
      </c>
      <c r="D102" s="283">
        <v>626</v>
      </c>
      <c r="E102" s="283">
        <v>58.02</v>
      </c>
    </row>
    <row r="103" spans="2:5" ht="13.8" thickBot="1" x14ac:dyDescent="0.3">
      <c r="B103" t="s">
        <v>638</v>
      </c>
      <c r="C103" t="s">
        <v>592</v>
      </c>
      <c r="D103" s="283">
        <v>517</v>
      </c>
      <c r="E103" s="283">
        <v>30</v>
      </c>
    </row>
    <row r="104" spans="2:5" ht="13.8" thickBot="1" x14ac:dyDescent="0.3">
      <c r="B104" t="s">
        <v>639</v>
      </c>
      <c r="C104" t="s">
        <v>592</v>
      </c>
      <c r="D104" s="283">
        <v>121</v>
      </c>
      <c r="E104" s="283">
        <v>10.23</v>
      </c>
    </row>
    <row r="105" spans="2:5" ht="13.8" thickBot="1" x14ac:dyDescent="0.3">
      <c r="B105" t="s">
        <v>640</v>
      </c>
      <c r="C105" t="s">
        <v>592</v>
      </c>
      <c r="D105" s="283">
        <v>225</v>
      </c>
      <c r="E105" s="283">
        <v>13.84</v>
      </c>
    </row>
    <row r="106" spans="2:5" ht="13.8" thickBot="1" x14ac:dyDescent="0.3">
      <c r="B106" t="s">
        <v>641</v>
      </c>
      <c r="C106" t="s">
        <v>592</v>
      </c>
      <c r="D106" s="283" t="s">
        <v>642</v>
      </c>
      <c r="E106" s="283">
        <v>5.15</v>
      </c>
    </row>
    <row r="107" spans="2:5" ht="13.8" thickBot="1" x14ac:dyDescent="0.3">
      <c r="B107" t="s">
        <v>643</v>
      </c>
      <c r="C107" t="s">
        <v>592</v>
      </c>
      <c r="D107" s="283">
        <v>912</v>
      </c>
      <c r="E107" s="283">
        <v>21.04</v>
      </c>
    </row>
    <row r="108" spans="2:5" ht="13.8" thickBot="1" x14ac:dyDescent="0.3">
      <c r="B108" t="s">
        <v>644</v>
      </c>
      <c r="C108" t="s">
        <v>592</v>
      </c>
      <c r="D108" s="283">
        <v>541</v>
      </c>
      <c r="E108" s="283">
        <v>9.9499999999999993</v>
      </c>
    </row>
    <row r="109" spans="2:5" ht="13.8" thickBot="1" x14ac:dyDescent="0.3">
      <c r="B109" t="s">
        <v>645</v>
      </c>
      <c r="C109" t="s">
        <v>592</v>
      </c>
      <c r="D109" s="283" t="s">
        <v>646</v>
      </c>
      <c r="E109" s="283">
        <v>40.61</v>
      </c>
    </row>
    <row r="110" spans="2:5" ht="13.8" thickBot="1" x14ac:dyDescent="0.3">
      <c r="B110" t="s">
        <v>647</v>
      </c>
      <c r="C110" t="s">
        <v>592</v>
      </c>
      <c r="D110" s="283">
        <v>894</v>
      </c>
      <c r="E110" s="283">
        <v>53.7</v>
      </c>
    </row>
    <row r="111" spans="2:5" ht="13.8" thickBot="1" x14ac:dyDescent="0.3">
      <c r="B111" t="s">
        <v>648</v>
      </c>
      <c r="C111" t="s">
        <v>592</v>
      </c>
      <c r="D111" s="283">
        <v>809</v>
      </c>
      <c r="E111" s="283">
        <v>5.39</v>
      </c>
    </row>
    <row r="112" spans="2:5" ht="13.8" thickBot="1" x14ac:dyDescent="0.3">
      <c r="B112" t="s">
        <v>649</v>
      </c>
      <c r="C112" t="s">
        <v>592</v>
      </c>
      <c r="D112" s="283" t="s">
        <v>650</v>
      </c>
      <c r="E112" s="283">
        <v>14.47</v>
      </c>
    </row>
    <row r="113" spans="2:5" ht="13.8" thickBot="1" x14ac:dyDescent="0.3">
      <c r="B113" t="s">
        <v>651</v>
      </c>
      <c r="C113" t="s">
        <v>592</v>
      </c>
      <c r="D113" s="283">
        <v>584</v>
      </c>
      <c r="E113" s="283">
        <v>27</v>
      </c>
    </row>
    <row r="114" spans="2:5" ht="13.8" thickBot="1" x14ac:dyDescent="0.3">
      <c r="B114" t="s">
        <v>652</v>
      </c>
      <c r="C114" t="s">
        <v>592</v>
      </c>
      <c r="D114" s="283">
        <v>500</v>
      </c>
      <c r="E114" s="283">
        <v>15.38</v>
      </c>
    </row>
    <row r="115" spans="2:5" ht="13.8" thickBot="1" x14ac:dyDescent="0.3">
      <c r="B115" t="s">
        <v>653</v>
      </c>
      <c r="C115" t="s">
        <v>592</v>
      </c>
      <c r="D115" s="283">
        <v>556</v>
      </c>
      <c r="E115" s="283">
        <v>11.73</v>
      </c>
    </row>
    <row r="116" spans="2:5" ht="13.8" thickBot="1" x14ac:dyDescent="0.3">
      <c r="B116" t="s">
        <v>654</v>
      </c>
      <c r="C116" t="s">
        <v>592</v>
      </c>
      <c r="D116" s="283">
        <v>371</v>
      </c>
      <c r="E116" s="283">
        <v>37.42</v>
      </c>
    </row>
    <row r="117" spans="2:5" ht="13.8" thickBot="1" x14ac:dyDescent="0.3">
      <c r="B117" t="s">
        <v>655</v>
      </c>
      <c r="C117" t="s">
        <v>592</v>
      </c>
      <c r="D117" s="283" t="s">
        <v>656</v>
      </c>
      <c r="E117" s="283">
        <v>2.14</v>
      </c>
    </row>
    <row r="118" spans="2:5" ht="13.8" thickBot="1" x14ac:dyDescent="0.3">
      <c r="B118" t="s">
        <v>657</v>
      </c>
      <c r="C118" t="s">
        <v>592</v>
      </c>
      <c r="D118" s="283">
        <v>272</v>
      </c>
      <c r="E118" s="283">
        <v>15.04</v>
      </c>
    </row>
    <row r="119" spans="2:5" ht="13.8" thickBot="1" x14ac:dyDescent="0.3">
      <c r="B119" t="s">
        <v>658</v>
      </c>
      <c r="C119" t="s">
        <v>592</v>
      </c>
      <c r="D119" s="283" t="s">
        <v>659</v>
      </c>
      <c r="E119" s="283">
        <v>10.88</v>
      </c>
    </row>
    <row r="120" spans="2:5" ht="13.8" thickBot="1" x14ac:dyDescent="0.3">
      <c r="B120" t="s">
        <v>660</v>
      </c>
      <c r="C120" t="s">
        <v>592</v>
      </c>
      <c r="D120" s="283" t="s">
        <v>661</v>
      </c>
      <c r="E120" s="283">
        <v>4.5999999999999996</v>
      </c>
    </row>
    <row r="121" spans="2:5" ht="13.8" thickBot="1" x14ac:dyDescent="0.3">
      <c r="B121" t="s">
        <v>662</v>
      </c>
      <c r="C121" t="s">
        <v>592</v>
      </c>
      <c r="D121" s="283" t="s">
        <v>663</v>
      </c>
      <c r="E121" s="283">
        <v>1.39</v>
      </c>
    </row>
    <row r="122" spans="2:5" ht="13.8" thickBot="1" x14ac:dyDescent="0.3">
      <c r="B122" t="s">
        <v>664</v>
      </c>
      <c r="C122" t="s">
        <v>592</v>
      </c>
      <c r="D122" s="283" t="s">
        <v>665</v>
      </c>
      <c r="E122" s="283">
        <v>54.73</v>
      </c>
    </row>
    <row r="123" spans="2:5" ht="13.8" thickBot="1" x14ac:dyDescent="0.3">
      <c r="B123" t="s">
        <v>666</v>
      </c>
      <c r="C123" t="s">
        <v>592</v>
      </c>
      <c r="D123" s="283" t="s">
        <v>667</v>
      </c>
      <c r="E123" s="283">
        <v>9.8000000000000007</v>
      </c>
    </row>
    <row r="124" spans="2:5" ht="13.8" thickBot="1" x14ac:dyDescent="0.3">
      <c r="B124" t="s">
        <v>668</v>
      </c>
      <c r="C124" t="s">
        <v>592</v>
      </c>
      <c r="D124" s="283">
        <v>323</v>
      </c>
      <c r="E124" s="283">
        <v>4.91</v>
      </c>
    </row>
    <row r="125" spans="2:5" ht="13.8" thickBot="1" x14ac:dyDescent="0.3">
      <c r="B125" t="s">
        <v>669</v>
      </c>
      <c r="C125" t="s">
        <v>592</v>
      </c>
      <c r="D125" s="283">
        <v>985</v>
      </c>
      <c r="E125" s="283">
        <v>3.58</v>
      </c>
    </row>
    <row r="126" spans="2:5" ht="13.8" thickBot="1" x14ac:dyDescent="0.3">
      <c r="B126" t="s">
        <v>670</v>
      </c>
      <c r="C126" t="s">
        <v>592</v>
      </c>
      <c r="D126" s="283" t="s">
        <v>671</v>
      </c>
      <c r="E126" s="283">
        <v>30.89</v>
      </c>
    </row>
    <row r="127" spans="2:5" ht="13.8" thickBot="1" x14ac:dyDescent="0.3">
      <c r="B127" t="s">
        <v>672</v>
      </c>
      <c r="C127" t="s">
        <v>592</v>
      </c>
      <c r="D127" s="283">
        <v>232</v>
      </c>
      <c r="E127" s="283">
        <v>1.86</v>
      </c>
    </row>
    <row r="128" spans="2:5" ht="13.8" thickBot="1" x14ac:dyDescent="0.3">
      <c r="B128" t="s">
        <v>673</v>
      </c>
      <c r="C128" t="s">
        <v>592</v>
      </c>
      <c r="D128" s="283">
        <v>374</v>
      </c>
      <c r="E128" s="283">
        <v>67.739999999999995</v>
      </c>
    </row>
    <row r="129" spans="2:5" ht="13.8" thickBot="1" x14ac:dyDescent="0.3">
      <c r="B129" t="s">
        <v>674</v>
      </c>
      <c r="C129" t="s">
        <v>592</v>
      </c>
      <c r="D129" s="283" t="s">
        <v>675</v>
      </c>
      <c r="E129" s="283">
        <v>5.99</v>
      </c>
    </row>
    <row r="130" spans="2:5" ht="13.8" thickBot="1" x14ac:dyDescent="0.3">
      <c r="B130" t="s">
        <v>676</v>
      </c>
      <c r="C130" t="s">
        <v>592</v>
      </c>
      <c r="D130" s="283" t="s">
        <v>677</v>
      </c>
      <c r="E130" s="283">
        <v>3.55</v>
      </c>
    </row>
    <row r="131" spans="2:5" ht="13.8" thickBot="1" x14ac:dyDescent="0.3">
      <c r="B131" t="s">
        <v>678</v>
      </c>
      <c r="C131" t="s">
        <v>592</v>
      </c>
      <c r="D131" s="283">
        <v>424</v>
      </c>
      <c r="E131" s="283">
        <v>10.75</v>
      </c>
    </row>
    <row r="132" spans="2:5" ht="13.8" thickBot="1" x14ac:dyDescent="0.3">
      <c r="B132" t="s">
        <v>679</v>
      </c>
      <c r="C132" t="s">
        <v>592</v>
      </c>
      <c r="D132" s="283" t="s">
        <v>680</v>
      </c>
      <c r="E132" s="283">
        <v>54.06</v>
      </c>
    </row>
    <row r="133" spans="2:5" ht="13.8" thickBot="1" x14ac:dyDescent="0.3">
      <c r="B133" t="s">
        <v>681</v>
      </c>
      <c r="C133" t="s">
        <v>592</v>
      </c>
      <c r="D133" s="283">
        <v>287</v>
      </c>
      <c r="E133" s="283">
        <v>10.35</v>
      </c>
    </row>
    <row r="134" spans="2:5" ht="13.8" thickBot="1" x14ac:dyDescent="0.3">
      <c r="B134" t="s">
        <v>682</v>
      </c>
      <c r="C134" t="s">
        <v>592</v>
      </c>
      <c r="D134" s="283">
        <v>437</v>
      </c>
      <c r="E134" s="283">
        <v>9.61</v>
      </c>
    </row>
    <row r="135" spans="2:5" ht="13.8" thickBot="1" x14ac:dyDescent="0.3">
      <c r="B135" t="s">
        <v>683</v>
      </c>
      <c r="C135" t="s">
        <v>684</v>
      </c>
      <c r="D135" s="283" t="s">
        <v>685</v>
      </c>
      <c r="E135" s="283">
        <v>13</v>
      </c>
    </row>
    <row r="136" spans="2:5" ht="13.8" thickBot="1" x14ac:dyDescent="0.3">
      <c r="B136" t="s">
        <v>686</v>
      </c>
      <c r="C136" t="s">
        <v>684</v>
      </c>
      <c r="D136" s="283" t="s">
        <v>687</v>
      </c>
      <c r="E136" s="283">
        <v>16</v>
      </c>
    </row>
    <row r="137" spans="2:5" ht="13.8" thickBot="1" x14ac:dyDescent="0.3">
      <c r="B137" t="s">
        <v>688</v>
      </c>
      <c r="C137" t="s">
        <v>684</v>
      </c>
      <c r="D137" s="283" t="s">
        <v>689</v>
      </c>
      <c r="E137" s="283">
        <v>36.01</v>
      </c>
    </row>
    <row r="138" spans="2:5" ht="13.8" thickBot="1" x14ac:dyDescent="0.3">
      <c r="B138" t="s">
        <v>690</v>
      </c>
      <c r="C138" t="s">
        <v>684</v>
      </c>
      <c r="D138" s="283" t="s">
        <v>691</v>
      </c>
      <c r="E138" s="283">
        <v>14</v>
      </c>
    </row>
    <row r="139" spans="2:5" ht="13.8" thickBot="1" x14ac:dyDescent="0.3">
      <c r="B139" t="s">
        <v>692</v>
      </c>
      <c r="C139" t="s">
        <v>684</v>
      </c>
      <c r="D139" s="283">
        <v>995</v>
      </c>
      <c r="E139" s="283">
        <v>9</v>
      </c>
    </row>
    <row r="140" spans="2:5" ht="13.8" thickBot="1" x14ac:dyDescent="0.3">
      <c r="B140" t="s">
        <v>693</v>
      </c>
      <c r="C140" t="s">
        <v>684</v>
      </c>
      <c r="D140" s="283" t="s">
        <v>694</v>
      </c>
      <c r="E140" s="283">
        <v>27.33</v>
      </c>
    </row>
    <row r="141" spans="2:5" ht="13.8" thickBot="1" x14ac:dyDescent="0.3">
      <c r="B141" t="s">
        <v>695</v>
      </c>
      <c r="C141" t="s">
        <v>684</v>
      </c>
      <c r="D141" s="283" t="s">
        <v>696</v>
      </c>
      <c r="E141" s="283">
        <v>11.97</v>
      </c>
    </row>
    <row r="142" spans="2:5" ht="13.8" thickBot="1" x14ac:dyDescent="0.3">
      <c r="B142" t="s">
        <v>697</v>
      </c>
      <c r="C142" t="s">
        <v>684</v>
      </c>
      <c r="D142" s="283" t="s">
        <v>698</v>
      </c>
      <c r="E142" s="283">
        <v>34</v>
      </c>
    </row>
    <row r="143" spans="2:5" ht="13.8" thickBot="1" x14ac:dyDescent="0.3">
      <c r="B143" t="s">
        <v>699</v>
      </c>
      <c r="C143" t="s">
        <v>684</v>
      </c>
      <c r="D143" s="283">
        <v>580</v>
      </c>
      <c r="E143" s="283">
        <v>33</v>
      </c>
    </row>
    <row r="144" spans="2:5" ht="13.8" thickBot="1" x14ac:dyDescent="0.3">
      <c r="B144" t="s">
        <v>700</v>
      </c>
      <c r="C144" t="s">
        <v>684</v>
      </c>
      <c r="D144" s="283">
        <v>521</v>
      </c>
      <c r="E144" s="283">
        <v>20.97</v>
      </c>
    </row>
    <row r="145" spans="2:5" ht="13.8" thickBot="1" x14ac:dyDescent="0.3">
      <c r="B145" t="s">
        <v>701</v>
      </c>
      <c r="C145" t="s">
        <v>684</v>
      </c>
      <c r="D145" s="283" t="s">
        <v>702</v>
      </c>
      <c r="E145" s="283">
        <v>14</v>
      </c>
    </row>
    <row r="146" spans="2:5" ht="13.8" thickBot="1" x14ac:dyDescent="0.3">
      <c r="B146" t="s">
        <v>703</v>
      </c>
      <c r="C146" t="s">
        <v>684</v>
      </c>
      <c r="D146" s="283" t="s">
        <v>704</v>
      </c>
      <c r="E146" s="283">
        <v>14.14</v>
      </c>
    </row>
    <row r="147" spans="2:5" ht="13.8" thickBot="1" x14ac:dyDescent="0.3">
      <c r="B147" t="s">
        <v>705</v>
      </c>
      <c r="C147" t="s">
        <v>684</v>
      </c>
      <c r="D147" s="283" t="s">
        <v>706</v>
      </c>
      <c r="E147" s="283">
        <v>23.13</v>
      </c>
    </row>
    <row r="148" spans="2:5" ht="13.8" thickBot="1" x14ac:dyDescent="0.3">
      <c r="B148" t="s">
        <v>707</v>
      </c>
      <c r="C148" t="s">
        <v>684</v>
      </c>
      <c r="D148" s="283">
        <v>683</v>
      </c>
      <c r="E148" s="283">
        <v>18</v>
      </c>
    </row>
    <row r="149" spans="2:5" ht="13.8" thickBot="1" x14ac:dyDescent="0.3">
      <c r="B149" t="s">
        <v>684</v>
      </c>
      <c r="C149" t="s">
        <v>684</v>
      </c>
      <c r="D149" s="283" t="s">
        <v>708</v>
      </c>
      <c r="E149" s="283">
        <v>51.39</v>
      </c>
    </row>
    <row r="150" spans="2:5" ht="13.8" thickBot="1" x14ac:dyDescent="0.3">
      <c r="B150" t="s">
        <v>709</v>
      </c>
      <c r="C150" t="s">
        <v>684</v>
      </c>
      <c r="D150" s="283" t="s">
        <v>710</v>
      </c>
      <c r="E150" s="283">
        <v>15.86</v>
      </c>
    </row>
    <row r="151" spans="2:5" ht="13.8" thickBot="1" x14ac:dyDescent="0.3">
      <c r="B151" t="s">
        <v>711</v>
      </c>
      <c r="C151" t="s">
        <v>684</v>
      </c>
      <c r="D151" s="283" t="s">
        <v>712</v>
      </c>
      <c r="E151" s="283">
        <v>38</v>
      </c>
    </row>
    <row r="152" spans="2:5" ht="13.8" thickBot="1" x14ac:dyDescent="0.3">
      <c r="B152" t="s">
        <v>713</v>
      </c>
      <c r="C152" t="s">
        <v>684</v>
      </c>
      <c r="D152" s="283" t="s">
        <v>714</v>
      </c>
      <c r="E152" s="283">
        <v>13</v>
      </c>
    </row>
    <row r="153" spans="2:5" ht="13.8" thickBot="1" x14ac:dyDescent="0.3">
      <c r="B153" t="s">
        <v>715</v>
      </c>
      <c r="C153" t="s">
        <v>684</v>
      </c>
      <c r="D153" s="283">
        <v>659</v>
      </c>
      <c r="E153" s="283">
        <v>45</v>
      </c>
    </row>
    <row r="154" spans="2:5" ht="13.8" thickBot="1" x14ac:dyDescent="0.3">
      <c r="B154" t="s">
        <v>716</v>
      </c>
      <c r="C154" t="s">
        <v>684</v>
      </c>
      <c r="D154" s="283" t="s">
        <v>717</v>
      </c>
      <c r="E154" s="283">
        <v>11</v>
      </c>
    </row>
    <row r="155" spans="2:5" ht="13.8" thickBot="1" x14ac:dyDescent="0.3">
      <c r="B155" t="s">
        <v>718</v>
      </c>
      <c r="C155" t="s">
        <v>684</v>
      </c>
      <c r="D155" s="283">
        <v>599</v>
      </c>
      <c r="E155" s="283">
        <v>16</v>
      </c>
    </row>
    <row r="156" spans="2:5" ht="13.8" thickBot="1" x14ac:dyDescent="0.3">
      <c r="B156" t="s">
        <v>719</v>
      </c>
      <c r="C156" t="s">
        <v>684</v>
      </c>
      <c r="D156" s="283" t="s">
        <v>720</v>
      </c>
      <c r="E156" s="283">
        <v>7</v>
      </c>
    </row>
    <row r="157" spans="2:5" ht="13.8" thickBot="1" x14ac:dyDescent="0.3">
      <c r="B157" t="s">
        <v>721</v>
      </c>
      <c r="C157" t="s">
        <v>684</v>
      </c>
      <c r="D157" s="283" t="s">
        <v>722</v>
      </c>
      <c r="E157" s="283">
        <v>36</v>
      </c>
    </row>
    <row r="158" spans="2:5" ht="13.8" thickBot="1" x14ac:dyDescent="0.3">
      <c r="B158" t="s">
        <v>723</v>
      </c>
      <c r="C158" t="s">
        <v>684</v>
      </c>
      <c r="D158" s="283" t="s">
        <v>724</v>
      </c>
      <c r="E158" s="283">
        <v>10</v>
      </c>
    </row>
    <row r="159" spans="2:5" ht="13.8" thickBot="1" x14ac:dyDescent="0.3">
      <c r="B159" t="s">
        <v>725</v>
      </c>
      <c r="C159" t="s">
        <v>684</v>
      </c>
      <c r="D159" s="283">
        <v>785</v>
      </c>
      <c r="E159" s="283">
        <v>32</v>
      </c>
    </row>
    <row r="160" spans="2:5" ht="13.8" thickBot="1" x14ac:dyDescent="0.3">
      <c r="B160" t="s">
        <v>726</v>
      </c>
      <c r="C160" t="s">
        <v>684</v>
      </c>
      <c r="D160" s="283" t="s">
        <v>727</v>
      </c>
      <c r="E160" s="283">
        <v>55.4</v>
      </c>
    </row>
    <row r="161" spans="2:5" ht="13.8" thickBot="1" x14ac:dyDescent="0.3">
      <c r="B161" t="s">
        <v>728</v>
      </c>
      <c r="C161" t="s">
        <v>684</v>
      </c>
      <c r="D161" s="283" t="s">
        <v>729</v>
      </c>
      <c r="E161" s="283">
        <v>34.229999999999997</v>
      </c>
    </row>
    <row r="162" spans="2:5" ht="13.8" thickBot="1" x14ac:dyDescent="0.3">
      <c r="B162" t="s">
        <v>730</v>
      </c>
      <c r="C162" t="s">
        <v>684</v>
      </c>
      <c r="D162" s="283" t="s">
        <v>731</v>
      </c>
      <c r="E162" s="283">
        <v>69</v>
      </c>
    </row>
    <row r="163" spans="2:5" ht="13.8" thickBot="1" x14ac:dyDescent="0.3">
      <c r="B163" t="s">
        <v>732</v>
      </c>
      <c r="C163" t="s">
        <v>684</v>
      </c>
      <c r="D163" s="283" t="s">
        <v>733</v>
      </c>
      <c r="E163" s="283">
        <v>136</v>
      </c>
    </row>
    <row r="164" spans="2:5" ht="13.8" thickBot="1" x14ac:dyDescent="0.3">
      <c r="B164" t="s">
        <v>734</v>
      </c>
      <c r="C164" t="s">
        <v>684</v>
      </c>
      <c r="D164" s="283">
        <v>941</v>
      </c>
      <c r="E164" s="283">
        <v>12</v>
      </c>
    </row>
    <row r="165" spans="2:5" ht="13.8" thickBot="1" x14ac:dyDescent="0.3">
      <c r="B165" t="s">
        <v>735</v>
      </c>
      <c r="C165" t="s">
        <v>684</v>
      </c>
      <c r="D165" s="283" t="s">
        <v>736</v>
      </c>
      <c r="E165" s="283">
        <v>18.41</v>
      </c>
    </row>
    <row r="166" spans="2:5" ht="13.8" thickBot="1" x14ac:dyDescent="0.3">
      <c r="B166" t="s">
        <v>737</v>
      </c>
      <c r="C166" t="s">
        <v>684</v>
      </c>
      <c r="D166" s="283">
        <v>524</v>
      </c>
      <c r="E166" s="283">
        <v>27</v>
      </c>
    </row>
    <row r="167" spans="2:5" ht="13.8" thickBot="1" x14ac:dyDescent="0.3">
      <c r="B167" t="s">
        <v>738</v>
      </c>
      <c r="C167" t="s">
        <v>739</v>
      </c>
      <c r="D167" s="283" t="s">
        <v>740</v>
      </c>
      <c r="E167" s="283">
        <v>17.3</v>
      </c>
    </row>
    <row r="168" spans="2:5" ht="13.8" thickBot="1" x14ac:dyDescent="0.3">
      <c r="B168" t="s">
        <v>741</v>
      </c>
      <c r="C168" t="s">
        <v>739</v>
      </c>
      <c r="D168" s="283" t="s">
        <v>742</v>
      </c>
      <c r="E168" s="283">
        <v>36.51</v>
      </c>
    </row>
    <row r="169" spans="2:5" ht="13.8" thickBot="1" x14ac:dyDescent="0.3">
      <c r="B169" t="s">
        <v>743</v>
      </c>
      <c r="C169" t="s">
        <v>739</v>
      </c>
      <c r="D169" s="283" t="s">
        <v>744</v>
      </c>
      <c r="E169" s="283">
        <v>29.02</v>
      </c>
    </row>
    <row r="170" spans="2:5" ht="13.8" thickBot="1" x14ac:dyDescent="0.3">
      <c r="B170" t="s">
        <v>745</v>
      </c>
      <c r="C170" t="s">
        <v>739</v>
      </c>
      <c r="D170" s="283" t="s">
        <v>746</v>
      </c>
      <c r="E170" s="283">
        <v>3.2</v>
      </c>
    </row>
    <row r="171" spans="2:5" ht="13.8" thickBot="1" x14ac:dyDescent="0.3">
      <c r="B171" t="s">
        <v>747</v>
      </c>
      <c r="C171" t="s">
        <v>739</v>
      </c>
      <c r="D171" s="283" t="s">
        <v>748</v>
      </c>
      <c r="E171" s="283">
        <v>11.74</v>
      </c>
    </row>
    <row r="172" spans="2:5" ht="13.8" thickBot="1" x14ac:dyDescent="0.3">
      <c r="B172" t="s">
        <v>749</v>
      </c>
      <c r="C172" t="s">
        <v>739</v>
      </c>
      <c r="D172" s="283" t="s">
        <v>750</v>
      </c>
      <c r="E172" s="283">
        <v>31.61</v>
      </c>
    </row>
    <row r="173" spans="2:5" ht="13.8" thickBot="1" x14ac:dyDescent="0.3">
      <c r="B173" t="s">
        <v>751</v>
      </c>
      <c r="C173" t="s">
        <v>739</v>
      </c>
      <c r="D173" s="283">
        <v>630</v>
      </c>
      <c r="E173" s="283">
        <v>6.01</v>
      </c>
    </row>
    <row r="174" spans="2:5" ht="13.8" thickBot="1" x14ac:dyDescent="0.3">
      <c r="B174" t="s">
        <v>752</v>
      </c>
      <c r="C174" t="s">
        <v>739</v>
      </c>
      <c r="D174" s="283">
        <v>597</v>
      </c>
      <c r="E174" s="283">
        <v>11.27</v>
      </c>
    </row>
    <row r="175" spans="2:5" ht="13.8" thickBot="1" x14ac:dyDescent="0.3">
      <c r="B175" t="s">
        <v>753</v>
      </c>
      <c r="C175" t="s">
        <v>739</v>
      </c>
      <c r="D175" s="283">
        <v>697</v>
      </c>
      <c r="E175" s="283">
        <v>29.6</v>
      </c>
    </row>
    <row r="176" spans="2:5" ht="13.8" thickBot="1" x14ac:dyDescent="0.3">
      <c r="B176" t="s">
        <v>754</v>
      </c>
      <c r="C176" t="s">
        <v>739</v>
      </c>
      <c r="D176" s="283" t="s">
        <v>755</v>
      </c>
      <c r="E176" s="283">
        <v>3.45</v>
      </c>
    </row>
    <row r="177" spans="2:5" ht="13.8" thickBot="1" x14ac:dyDescent="0.3">
      <c r="B177" t="s">
        <v>756</v>
      </c>
      <c r="C177" t="s">
        <v>739</v>
      </c>
      <c r="D177" s="283" t="s">
        <v>757</v>
      </c>
      <c r="E177" s="283">
        <v>8.67</v>
      </c>
    </row>
    <row r="178" spans="2:5" ht="13.8" thickBot="1" x14ac:dyDescent="0.3">
      <c r="B178" t="s">
        <v>758</v>
      </c>
      <c r="C178" t="s">
        <v>739</v>
      </c>
      <c r="D178" s="283" t="s">
        <v>759</v>
      </c>
      <c r="E178" s="283">
        <v>5.34</v>
      </c>
    </row>
    <row r="179" spans="2:5" ht="13.8" thickBot="1" x14ac:dyDescent="0.3">
      <c r="B179" t="s">
        <v>760</v>
      </c>
      <c r="C179" t="s">
        <v>739</v>
      </c>
      <c r="D179" s="283" t="s">
        <v>761</v>
      </c>
      <c r="E179" s="283">
        <v>2.92</v>
      </c>
    </row>
    <row r="180" spans="2:5" ht="13.8" thickBot="1" x14ac:dyDescent="0.3">
      <c r="B180" t="s">
        <v>762</v>
      </c>
      <c r="C180" t="s">
        <v>739</v>
      </c>
      <c r="D180" s="283">
        <v>401</v>
      </c>
      <c r="E180" s="283">
        <v>22.43</v>
      </c>
    </row>
    <row r="181" spans="2:5" ht="13.8" thickBot="1" x14ac:dyDescent="0.3">
      <c r="B181" t="s">
        <v>763</v>
      </c>
      <c r="C181" t="s">
        <v>739</v>
      </c>
      <c r="D181" s="283" t="s">
        <v>764</v>
      </c>
      <c r="E181" s="283">
        <v>99.5</v>
      </c>
    </row>
    <row r="182" spans="2:5" ht="13.8" thickBot="1" x14ac:dyDescent="0.3">
      <c r="B182" t="s">
        <v>765</v>
      </c>
      <c r="C182" t="s">
        <v>739</v>
      </c>
      <c r="D182" s="283" t="s">
        <v>766</v>
      </c>
      <c r="E182" s="283">
        <v>19.36</v>
      </c>
    </row>
    <row r="183" spans="2:5" ht="13.8" thickBot="1" x14ac:dyDescent="0.3">
      <c r="B183" t="s">
        <v>767</v>
      </c>
      <c r="C183" t="s">
        <v>739</v>
      </c>
      <c r="D183" s="283" t="s">
        <v>768</v>
      </c>
      <c r="E183" s="283">
        <v>63.21</v>
      </c>
    </row>
    <row r="184" spans="2:5" ht="13.8" thickBot="1" x14ac:dyDescent="0.3">
      <c r="B184" t="s">
        <v>769</v>
      </c>
      <c r="C184" t="s">
        <v>739</v>
      </c>
      <c r="D184" s="283" t="s">
        <v>770</v>
      </c>
      <c r="E184" s="283">
        <v>10.36</v>
      </c>
    </row>
    <row r="185" spans="2:5" ht="13.8" thickBot="1" x14ac:dyDescent="0.3">
      <c r="B185" t="s">
        <v>771</v>
      </c>
      <c r="C185" t="s">
        <v>739</v>
      </c>
      <c r="D185" s="283">
        <v>744</v>
      </c>
      <c r="E185" s="283">
        <v>24.3</v>
      </c>
    </row>
    <row r="186" spans="2:5" ht="13.8" thickBot="1" x14ac:dyDescent="0.3">
      <c r="B186" t="s">
        <v>772</v>
      </c>
      <c r="C186" t="s">
        <v>739</v>
      </c>
      <c r="D186" s="283">
        <v>321</v>
      </c>
      <c r="E186" s="283">
        <v>14.76</v>
      </c>
    </row>
    <row r="187" spans="2:5" ht="13.8" thickBot="1" x14ac:dyDescent="0.3">
      <c r="B187" t="s">
        <v>773</v>
      </c>
      <c r="C187" t="s">
        <v>739</v>
      </c>
      <c r="D187" s="283">
        <v>172</v>
      </c>
      <c r="E187" s="283">
        <v>16.68</v>
      </c>
    </row>
    <row r="188" spans="2:5" ht="13.8" thickBot="1" x14ac:dyDescent="0.3">
      <c r="B188" t="s">
        <v>774</v>
      </c>
      <c r="C188" t="s">
        <v>739</v>
      </c>
      <c r="D188" s="283" t="s">
        <v>775</v>
      </c>
      <c r="E188" s="283">
        <v>9.6199999999999992</v>
      </c>
    </row>
    <row r="189" spans="2:5" ht="13.8" thickBot="1" x14ac:dyDescent="0.3">
      <c r="B189" t="s">
        <v>776</v>
      </c>
      <c r="C189" t="s">
        <v>739</v>
      </c>
      <c r="D189" s="283" t="s">
        <v>777</v>
      </c>
      <c r="E189" s="283">
        <v>18.79</v>
      </c>
    </row>
    <row r="190" spans="2:5" ht="13.8" thickBot="1" x14ac:dyDescent="0.3">
      <c r="B190" t="s">
        <v>778</v>
      </c>
      <c r="C190" t="s">
        <v>739</v>
      </c>
      <c r="D190" s="283" t="s">
        <v>779</v>
      </c>
      <c r="E190" s="283">
        <v>11.21</v>
      </c>
    </row>
    <row r="191" spans="2:5" ht="13.8" thickBot="1" x14ac:dyDescent="0.3">
      <c r="B191" t="s">
        <v>780</v>
      </c>
      <c r="C191" t="s">
        <v>739</v>
      </c>
      <c r="D191" s="283" t="s">
        <v>781</v>
      </c>
      <c r="E191" s="283">
        <v>12.15</v>
      </c>
    </row>
    <row r="192" spans="2:5" ht="13.8" thickBot="1" x14ac:dyDescent="0.3">
      <c r="B192" t="s">
        <v>782</v>
      </c>
      <c r="C192" t="s">
        <v>739</v>
      </c>
      <c r="D192" s="283" t="s">
        <v>559</v>
      </c>
      <c r="E192" s="283">
        <v>13.73</v>
      </c>
    </row>
    <row r="193" spans="2:5" ht="13.8" thickBot="1" x14ac:dyDescent="0.3">
      <c r="B193" t="s">
        <v>783</v>
      </c>
      <c r="C193" t="s">
        <v>739</v>
      </c>
      <c r="D193" s="283" t="s">
        <v>784</v>
      </c>
      <c r="E193" s="283">
        <v>67.77</v>
      </c>
    </row>
    <row r="194" spans="2:5" ht="13.8" thickBot="1" x14ac:dyDescent="0.3">
      <c r="B194" t="s">
        <v>785</v>
      </c>
      <c r="C194" t="s">
        <v>739</v>
      </c>
      <c r="D194" s="283">
        <v>256</v>
      </c>
      <c r="E194" s="283">
        <v>16.57</v>
      </c>
    </row>
    <row r="195" spans="2:5" ht="13.8" thickBot="1" x14ac:dyDescent="0.3">
      <c r="B195" t="s">
        <v>786</v>
      </c>
      <c r="C195" t="s">
        <v>739</v>
      </c>
      <c r="D195" s="283" t="s">
        <v>787</v>
      </c>
      <c r="E195" s="283">
        <v>34.590000000000003</v>
      </c>
    </row>
    <row r="196" spans="2:5" ht="13.8" thickBot="1" x14ac:dyDescent="0.3">
      <c r="B196" t="s">
        <v>788</v>
      </c>
      <c r="C196" t="s">
        <v>739</v>
      </c>
      <c r="D196" s="283" t="s">
        <v>789</v>
      </c>
      <c r="E196" s="283">
        <v>8.26</v>
      </c>
    </row>
    <row r="197" spans="2:5" ht="13.8" thickBot="1" x14ac:dyDescent="0.3">
      <c r="B197" t="s">
        <v>790</v>
      </c>
      <c r="C197" t="s">
        <v>739</v>
      </c>
      <c r="D197" s="283">
        <v>946</v>
      </c>
      <c r="E197" s="283">
        <v>17.43</v>
      </c>
    </row>
    <row r="198" spans="2:5" ht="13.8" thickBot="1" x14ac:dyDescent="0.3">
      <c r="B198" t="s">
        <v>791</v>
      </c>
      <c r="C198" t="s">
        <v>739</v>
      </c>
      <c r="D198" s="283">
        <v>460</v>
      </c>
      <c r="E198" s="283">
        <v>19.13</v>
      </c>
    </row>
    <row r="199" spans="2:5" ht="13.8" thickBot="1" x14ac:dyDescent="0.3">
      <c r="B199" t="s">
        <v>792</v>
      </c>
      <c r="C199" t="s">
        <v>739</v>
      </c>
      <c r="D199" s="283" t="s">
        <v>793</v>
      </c>
      <c r="E199" s="283">
        <v>2.78</v>
      </c>
    </row>
    <row r="200" spans="2:5" ht="13.8" thickBot="1" x14ac:dyDescent="0.3">
      <c r="B200" t="s">
        <v>794</v>
      </c>
      <c r="C200" t="s">
        <v>739</v>
      </c>
      <c r="D200" s="283" t="s">
        <v>795</v>
      </c>
      <c r="E200" s="283">
        <v>13.46</v>
      </c>
    </row>
    <row r="201" spans="2:5" ht="13.8" thickBot="1" x14ac:dyDescent="0.3">
      <c r="B201" t="s">
        <v>796</v>
      </c>
      <c r="C201" t="s">
        <v>739</v>
      </c>
      <c r="D201" s="283">
        <v>917</v>
      </c>
      <c r="E201" s="283">
        <v>19.18</v>
      </c>
    </row>
    <row r="202" spans="2:5" ht="13.8" thickBot="1" x14ac:dyDescent="0.3">
      <c r="B202" t="s">
        <v>797</v>
      </c>
      <c r="C202" t="s">
        <v>739</v>
      </c>
      <c r="D202" s="283" t="s">
        <v>798</v>
      </c>
      <c r="E202" s="283">
        <v>32.6</v>
      </c>
    </row>
    <row r="203" spans="2:5" ht="13.8" thickBot="1" x14ac:dyDescent="0.3">
      <c r="B203" t="s">
        <v>799</v>
      </c>
      <c r="C203" t="s">
        <v>739</v>
      </c>
      <c r="D203" s="283">
        <v>121</v>
      </c>
      <c r="E203" s="283">
        <v>7.73</v>
      </c>
    </row>
    <row r="204" spans="2:5" ht="13.8" thickBot="1" x14ac:dyDescent="0.3">
      <c r="B204" t="s">
        <v>800</v>
      </c>
      <c r="C204" t="s">
        <v>739</v>
      </c>
      <c r="D204" s="283" t="s">
        <v>801</v>
      </c>
      <c r="E204" s="283">
        <v>15.33</v>
      </c>
    </row>
    <row r="205" spans="2:5" ht="13.8" thickBot="1" x14ac:dyDescent="0.3">
      <c r="B205" t="s">
        <v>802</v>
      </c>
      <c r="C205" t="s">
        <v>739</v>
      </c>
      <c r="D205" s="283">
        <v>539</v>
      </c>
      <c r="E205" s="283">
        <v>20.02</v>
      </c>
    </row>
    <row r="206" spans="2:5" ht="13.8" thickBot="1" x14ac:dyDescent="0.3">
      <c r="B206" t="s">
        <v>803</v>
      </c>
      <c r="C206" t="s">
        <v>739</v>
      </c>
      <c r="D206" s="283">
        <v>838</v>
      </c>
      <c r="E206" s="283">
        <v>37.49</v>
      </c>
    </row>
    <row r="207" spans="2:5" ht="13.8" thickBot="1" x14ac:dyDescent="0.3">
      <c r="B207" t="s">
        <v>804</v>
      </c>
      <c r="C207" t="s">
        <v>739</v>
      </c>
      <c r="D207" s="283">
        <v>222</v>
      </c>
      <c r="E207" s="283">
        <v>21</v>
      </c>
    </row>
    <row r="208" spans="2:5" ht="13.8" thickBot="1" x14ac:dyDescent="0.3">
      <c r="B208" t="s">
        <v>805</v>
      </c>
      <c r="C208" t="s">
        <v>739</v>
      </c>
      <c r="D208" s="283" t="s">
        <v>806</v>
      </c>
      <c r="E208" s="283">
        <v>9.6199999999999992</v>
      </c>
    </row>
    <row r="209" spans="2:5" ht="13.8" thickBot="1" x14ac:dyDescent="0.3">
      <c r="B209" t="s">
        <v>807</v>
      </c>
      <c r="C209" t="s">
        <v>739</v>
      </c>
      <c r="D209" s="283">
        <v>234</v>
      </c>
      <c r="E209" s="283">
        <v>8.23</v>
      </c>
    </row>
    <row r="210" spans="2:5" ht="13.8" thickBot="1" x14ac:dyDescent="0.3">
      <c r="B210" t="s">
        <v>808</v>
      </c>
      <c r="C210" t="s">
        <v>739</v>
      </c>
      <c r="D210" s="283">
        <v>895</v>
      </c>
      <c r="E210" s="283">
        <v>17.72</v>
      </c>
    </row>
    <row r="211" spans="2:5" ht="13.8" thickBot="1" x14ac:dyDescent="0.3">
      <c r="B211" t="s">
        <v>809</v>
      </c>
      <c r="C211" t="s">
        <v>739</v>
      </c>
      <c r="D211" s="283" t="s">
        <v>810</v>
      </c>
      <c r="E211" s="283">
        <v>9.83</v>
      </c>
    </row>
    <row r="212" spans="2:5" ht="13.8" thickBot="1" x14ac:dyDescent="0.3">
      <c r="B212" t="s">
        <v>811</v>
      </c>
      <c r="C212" t="s">
        <v>739</v>
      </c>
      <c r="D212" s="283">
        <v>469</v>
      </c>
      <c r="E212" s="283">
        <v>29.15</v>
      </c>
    </row>
    <row r="213" spans="2:5" ht="13.8" thickBot="1" x14ac:dyDescent="0.3">
      <c r="B213" t="s">
        <v>812</v>
      </c>
      <c r="C213" t="s">
        <v>739</v>
      </c>
      <c r="D213" s="283">
        <v>957</v>
      </c>
      <c r="E213" s="283">
        <v>21.3</v>
      </c>
    </row>
    <row r="214" spans="2:5" ht="13.8" thickBot="1" x14ac:dyDescent="0.3">
      <c r="B214" t="s">
        <v>813</v>
      </c>
      <c r="C214" t="s">
        <v>739</v>
      </c>
      <c r="D214" s="283">
        <v>857</v>
      </c>
      <c r="E214" s="283">
        <v>29.59</v>
      </c>
    </row>
    <row r="215" spans="2:5" ht="13.8" thickBot="1" x14ac:dyDescent="0.3">
      <c r="B215" t="s">
        <v>814</v>
      </c>
      <c r="C215" t="s">
        <v>739</v>
      </c>
      <c r="D215" s="283" t="s">
        <v>815</v>
      </c>
      <c r="E215" s="283">
        <v>9.67</v>
      </c>
    </row>
    <row r="216" spans="2:5" ht="13.8" thickBot="1" x14ac:dyDescent="0.3">
      <c r="B216" t="s">
        <v>816</v>
      </c>
      <c r="C216" t="s">
        <v>739</v>
      </c>
      <c r="D216" s="283">
        <v>648</v>
      </c>
      <c r="E216" s="283">
        <v>8.2100000000000009</v>
      </c>
    </row>
    <row r="217" spans="2:5" ht="13.8" thickBot="1" x14ac:dyDescent="0.3">
      <c r="B217" t="s">
        <v>817</v>
      </c>
      <c r="C217" t="s">
        <v>739</v>
      </c>
      <c r="D217" s="283">
        <v>846</v>
      </c>
      <c r="E217" s="283">
        <v>24.87</v>
      </c>
    </row>
    <row r="218" spans="2:5" ht="13.8" thickBot="1" x14ac:dyDescent="0.3">
      <c r="B218" t="s">
        <v>818</v>
      </c>
      <c r="C218" t="s">
        <v>739</v>
      </c>
      <c r="D218" s="283" t="s">
        <v>819</v>
      </c>
      <c r="E218" s="283">
        <v>49.46</v>
      </c>
    </row>
    <row r="219" spans="2:5" ht="13.8" thickBot="1" x14ac:dyDescent="0.3">
      <c r="B219" t="s">
        <v>820</v>
      </c>
      <c r="C219" t="s">
        <v>739</v>
      </c>
      <c r="D219" s="283">
        <v>564</v>
      </c>
      <c r="E219" s="283">
        <v>19.84</v>
      </c>
    </row>
    <row r="220" spans="2:5" ht="13.8" thickBot="1" x14ac:dyDescent="0.3">
      <c r="B220" t="s">
        <v>821</v>
      </c>
      <c r="C220" t="s">
        <v>739</v>
      </c>
      <c r="D220" s="283">
        <v>746</v>
      </c>
      <c r="E220" s="283">
        <v>17.46</v>
      </c>
    </row>
    <row r="221" spans="2:5" ht="13.8" thickBot="1" x14ac:dyDescent="0.3">
      <c r="B221" t="s">
        <v>822</v>
      </c>
      <c r="C221" t="s">
        <v>739</v>
      </c>
      <c r="D221" s="283" t="s">
        <v>823</v>
      </c>
      <c r="E221" s="283">
        <v>100.45</v>
      </c>
    </row>
    <row r="222" spans="2:5" ht="13.8" thickBot="1" x14ac:dyDescent="0.3">
      <c r="B222" t="s">
        <v>739</v>
      </c>
      <c r="C222" t="s">
        <v>739</v>
      </c>
      <c r="D222" s="283" t="s">
        <v>824</v>
      </c>
      <c r="E222" s="283">
        <v>65.55</v>
      </c>
    </row>
    <row r="223" spans="2:5" ht="13.8" thickBot="1" x14ac:dyDescent="0.3">
      <c r="B223" t="s">
        <v>825</v>
      </c>
      <c r="C223" t="s">
        <v>739</v>
      </c>
      <c r="D223" s="283" t="s">
        <v>826</v>
      </c>
      <c r="E223" s="283">
        <v>8.14</v>
      </c>
    </row>
    <row r="224" spans="2:5" ht="13.8" thickBot="1" x14ac:dyDescent="0.3">
      <c r="B224" t="s">
        <v>827</v>
      </c>
      <c r="C224" t="s">
        <v>739</v>
      </c>
      <c r="D224" s="283" t="s">
        <v>828</v>
      </c>
      <c r="E224" s="283">
        <v>43.26</v>
      </c>
    </row>
    <row r="225" spans="2:5" ht="13.8" thickBot="1" x14ac:dyDescent="0.3">
      <c r="B225" t="s">
        <v>829</v>
      </c>
      <c r="C225" t="s">
        <v>739</v>
      </c>
      <c r="D225" s="283">
        <v>858</v>
      </c>
      <c r="E225" s="283">
        <v>17.55</v>
      </c>
    </row>
    <row r="226" spans="2:5" ht="13.8" thickBot="1" x14ac:dyDescent="0.3">
      <c r="B226" t="s">
        <v>830</v>
      </c>
      <c r="C226" t="s">
        <v>739</v>
      </c>
      <c r="D226" s="283">
        <v>212</v>
      </c>
      <c r="E226" s="283">
        <v>10.15</v>
      </c>
    </row>
    <row r="227" spans="2:5" ht="13.8" thickBot="1" x14ac:dyDescent="0.3">
      <c r="B227" t="s">
        <v>831</v>
      </c>
      <c r="C227" t="s">
        <v>739</v>
      </c>
      <c r="D227" s="283" t="s">
        <v>832</v>
      </c>
      <c r="E227" s="283">
        <v>18.63</v>
      </c>
    </row>
    <row r="228" spans="2:5" ht="13.8" thickBot="1" x14ac:dyDescent="0.3">
      <c r="B228" t="s">
        <v>833</v>
      </c>
      <c r="C228" t="s">
        <v>739</v>
      </c>
      <c r="D228" s="283" t="s">
        <v>834</v>
      </c>
      <c r="E228" s="283">
        <v>9.58</v>
      </c>
    </row>
    <row r="229" spans="2:5" ht="13.8" thickBot="1" x14ac:dyDescent="0.3">
      <c r="B229" t="s">
        <v>835</v>
      </c>
      <c r="C229" t="s">
        <v>739</v>
      </c>
      <c r="D229" s="283">
        <v>769</v>
      </c>
      <c r="E229" s="283">
        <v>31.48</v>
      </c>
    </row>
    <row r="230" spans="2:5" ht="13.8" thickBot="1" x14ac:dyDescent="0.3">
      <c r="B230" t="s">
        <v>836</v>
      </c>
      <c r="C230" t="s">
        <v>739</v>
      </c>
      <c r="D230" s="283" t="s">
        <v>837</v>
      </c>
      <c r="E230" s="283">
        <v>23.38</v>
      </c>
    </row>
    <row r="231" spans="2:5" ht="13.8" thickBot="1" x14ac:dyDescent="0.3">
      <c r="B231" t="s">
        <v>838</v>
      </c>
      <c r="C231" t="s">
        <v>739</v>
      </c>
      <c r="D231" s="283" t="s">
        <v>839</v>
      </c>
      <c r="E231" s="283">
        <v>47.97</v>
      </c>
    </row>
    <row r="232" spans="2:5" ht="13.8" thickBot="1" x14ac:dyDescent="0.3">
      <c r="B232" t="s">
        <v>840</v>
      </c>
      <c r="C232" t="s">
        <v>739</v>
      </c>
      <c r="D232" s="283">
        <v>403</v>
      </c>
      <c r="E232" s="283">
        <v>10.11</v>
      </c>
    </row>
    <row r="233" spans="2:5" ht="13.8" thickBot="1" x14ac:dyDescent="0.3">
      <c r="B233" t="s">
        <v>841</v>
      </c>
      <c r="C233" t="s">
        <v>739</v>
      </c>
      <c r="D233" s="283">
        <v>810</v>
      </c>
      <c r="E233" s="283">
        <v>9.69</v>
      </c>
    </row>
    <row r="234" spans="2:5" ht="13.8" thickBot="1" x14ac:dyDescent="0.3">
      <c r="B234" t="s">
        <v>842</v>
      </c>
      <c r="C234" t="s">
        <v>739</v>
      </c>
      <c r="D234" s="283" t="s">
        <v>843</v>
      </c>
      <c r="E234" s="283">
        <v>15.74</v>
      </c>
    </row>
    <row r="235" spans="2:5" ht="13.8" thickBot="1" x14ac:dyDescent="0.3">
      <c r="B235" t="s">
        <v>844</v>
      </c>
      <c r="C235" t="s">
        <v>739</v>
      </c>
      <c r="D235" s="283">
        <v>322</v>
      </c>
      <c r="E235" s="283">
        <v>10.74</v>
      </c>
    </row>
  </sheetData>
  <sheetProtection password="CF60" sheet="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9</vt:i4>
      </vt:variant>
      <vt:variant>
        <vt:lpstr>Intervalli denominati</vt:lpstr>
      </vt:variant>
      <vt:variant>
        <vt:i4>7</vt:i4>
      </vt:variant>
    </vt:vector>
  </HeadingPairs>
  <TitlesOfParts>
    <vt:vector size="16" baseType="lpstr">
      <vt:lpstr>PAS PACCHETTO 1 anagraf</vt:lpstr>
      <vt:lpstr>PAS 2 calc prod stand</vt:lpstr>
      <vt:lpstr>PAS 3 trasf comm rec terreni</vt:lpstr>
      <vt:lpstr>PAS PACCHETTO 4 invest</vt:lpstr>
      <vt:lpstr>PAS 5 sost fina econ amb</vt:lpstr>
      <vt:lpstr>PAS 6 punteggi</vt:lpstr>
      <vt:lpstr>PAS 7 relazione</vt:lpstr>
      <vt:lpstr>comuni mis 6</vt:lpstr>
      <vt:lpstr>comuni</vt:lpstr>
      <vt:lpstr>'PAS 2 calc prod stand'!Area_stampa</vt:lpstr>
      <vt:lpstr>'PAS 3 trasf comm rec terreni'!Area_stampa</vt:lpstr>
      <vt:lpstr>'PAS 5 sost fina econ amb'!Area_stampa</vt:lpstr>
      <vt:lpstr>'PAS 6 punteggi'!Area_stampa</vt:lpstr>
      <vt:lpstr>'PAS 7 relazione'!Area_stampa</vt:lpstr>
      <vt:lpstr>'PAS PACCHETTO 1 anagraf'!Area_stampa</vt:lpstr>
      <vt:lpstr>'PAS PACCHETTO 4 invest'!Area_stampa</vt:lpstr>
    </vt:vector>
  </TitlesOfParts>
  <Company>Regione Liguria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GIRARDI;STEFANO</dc:creator>
  <cp:lastModifiedBy>Musante Luca</cp:lastModifiedBy>
  <cp:lastPrinted>2022-12-14T14:20:44Z</cp:lastPrinted>
  <dcterms:created xsi:type="dcterms:W3CDTF">2008-02-14T15:56:11Z</dcterms:created>
  <dcterms:modified xsi:type="dcterms:W3CDTF">2022-12-16T09:53:34Z</dcterms:modified>
</cp:coreProperties>
</file>